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stafa\Desktop\MALİ TABLOLAR SETİ\Mali Tablolar  Seti\"/>
    </mc:Choice>
  </mc:AlternateContent>
  <xr:revisionPtr revIDLastSave="0" documentId="13_ncr:1_{87310A19-056F-40E1-9DFC-2A19E72CC79D}" xr6:coauthVersionLast="37" xr6:coauthVersionMax="37" xr10:uidLastSave="{00000000-0000-0000-0000-000000000000}"/>
  <bookViews>
    <workbookView xWindow="0" yWindow="258" windowWidth="19200" windowHeight="12798" tabRatio="838" activeTab="2" xr2:uid="{00000000-000D-0000-FFFF-FFFF00000000}"/>
  </bookViews>
  <sheets>
    <sheet name="Baz" sheetId="4" r:id="rId1"/>
    <sheet name="Nakit Akım" sheetId="5" r:id="rId2"/>
    <sheet name="Ödeme Tablosu" sheetId="7" r:id="rId3"/>
  </sheets>
  <definedNames>
    <definedName name="_xlnm.Print_Area" localSheetId="0">Baz!$A$1:$K$32</definedName>
    <definedName name="_xlnm.Print_Area" localSheetId="1">'Nakit Akım'!$A$1:$K$26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9" i="7" l="1"/>
  <c r="C31" i="7"/>
  <c r="H5" i="7"/>
  <c r="F16" i="7" l="1"/>
  <c r="F14" i="7"/>
  <c r="F12" i="7"/>
  <c r="F10" i="7"/>
  <c r="F8" i="7"/>
  <c r="F26" i="7"/>
  <c r="F24" i="7"/>
  <c r="F22" i="7"/>
  <c r="F20" i="7"/>
  <c r="F18" i="7"/>
  <c r="F6" i="7" l="1"/>
  <c r="F25" i="7"/>
  <c r="F23" i="7"/>
  <c r="F21" i="7"/>
  <c r="F19" i="7"/>
  <c r="F17" i="7"/>
  <c r="F15" i="7"/>
  <c r="F13" i="7"/>
  <c r="F11" i="7"/>
  <c r="F9" i="7"/>
  <c r="F7" i="7"/>
  <c r="C32" i="7" l="1"/>
  <c r="F5" i="7"/>
  <c r="I5" i="7" s="1"/>
  <c r="K2" i="4"/>
  <c r="J2" i="4"/>
  <c r="I2" i="4"/>
  <c r="H2" i="4"/>
  <c r="G2" i="4"/>
  <c r="F2" i="4"/>
  <c r="E2" i="4"/>
  <c r="D2" i="4"/>
  <c r="C2" i="4"/>
  <c r="B2" i="4"/>
  <c r="B7" i="4"/>
  <c r="K21" i="4"/>
  <c r="K17" i="5" s="1"/>
  <c r="K20" i="4"/>
  <c r="K16" i="5" s="1"/>
  <c r="K7" i="4"/>
  <c r="K8" i="4" s="1"/>
  <c r="K32" i="4" s="1"/>
  <c r="L32" i="7"/>
  <c r="K19" i="4" s="1"/>
  <c r="K15" i="5" s="1"/>
  <c r="K32" i="7"/>
  <c r="J19" i="4" s="1"/>
  <c r="J15" i="5" s="1"/>
  <c r="J32" i="7"/>
  <c r="I19" i="4" s="1"/>
  <c r="I15" i="5" s="1"/>
  <c r="I32" i="7"/>
  <c r="H19" i="4" s="1"/>
  <c r="H15" i="5" s="1"/>
  <c r="H32" i="7"/>
  <c r="G19" i="4" s="1"/>
  <c r="G15" i="5" s="1"/>
  <c r="G32" i="7"/>
  <c r="F19" i="4" s="1"/>
  <c r="F15" i="5" s="1"/>
  <c r="F32" i="7"/>
  <c r="E19" i="4" s="1"/>
  <c r="E15" i="5" s="1"/>
  <c r="E32" i="7"/>
  <c r="D19" i="4" s="1"/>
  <c r="D15" i="5" s="1"/>
  <c r="D32" i="7"/>
  <c r="C19" i="4" s="1"/>
  <c r="C15" i="5" s="1"/>
  <c r="L31" i="7"/>
  <c r="K31" i="7"/>
  <c r="J31" i="7"/>
  <c r="I31" i="7"/>
  <c r="H31" i="7"/>
  <c r="G31" i="7"/>
  <c r="F31" i="7"/>
  <c r="E31" i="7"/>
  <c r="D18" i="4" s="1"/>
  <c r="D14" i="5" s="1"/>
  <c r="D31" i="7"/>
  <c r="C18" i="4" s="1"/>
  <c r="C14" i="5" s="1"/>
  <c r="B19" i="4"/>
  <c r="B15" i="5" s="1"/>
  <c r="B18" i="4"/>
  <c r="B14" i="5" s="1"/>
  <c r="I25" i="7"/>
  <c r="K3" i="5" l="1"/>
  <c r="K11" i="4"/>
  <c r="F33" i="7"/>
  <c r="J33" i="7"/>
  <c r="K10" i="4"/>
  <c r="K33" i="7"/>
  <c r="G33" i="7"/>
  <c r="L33" i="7"/>
  <c r="H33" i="7"/>
  <c r="J18" i="4"/>
  <c r="J14" i="5" s="1"/>
  <c r="F18" i="4"/>
  <c r="F14" i="5" s="1"/>
  <c r="I33" i="7"/>
  <c r="M32" i="7"/>
  <c r="M31" i="7"/>
  <c r="I18" i="4"/>
  <c r="I14" i="5" s="1"/>
  <c r="E18" i="4"/>
  <c r="E14" i="5" s="1"/>
  <c r="H18" i="4"/>
  <c r="H14" i="5" s="1"/>
  <c r="K18" i="4"/>
  <c r="K14" i="5" s="1"/>
  <c r="K13" i="5" s="1"/>
  <c r="G18" i="4"/>
  <c r="G14" i="5" s="1"/>
  <c r="K13" i="4"/>
  <c r="K4" i="5" s="1"/>
  <c r="K7" i="5"/>
  <c r="H25" i="7"/>
  <c r="H23" i="7"/>
  <c r="H21" i="7"/>
  <c r="H19" i="7"/>
  <c r="H17" i="7"/>
  <c r="H15" i="7"/>
  <c r="H13" i="7"/>
  <c r="H11" i="7"/>
  <c r="H9" i="7"/>
  <c r="H7" i="7"/>
  <c r="G8" i="7"/>
  <c r="G10" i="7" s="1"/>
  <c r="G7" i="7"/>
  <c r="G9" i="7" s="1"/>
  <c r="D6" i="7"/>
  <c r="K5" i="5" l="1"/>
  <c r="H28" i="7"/>
  <c r="K17" i="4"/>
  <c r="K14" i="4"/>
  <c r="K15" i="4" s="1"/>
  <c r="G11" i="7"/>
  <c r="G12" i="7"/>
  <c r="K24" i="5" l="1"/>
  <c r="K6" i="5"/>
  <c r="G13" i="7"/>
  <c r="G14" i="7"/>
  <c r="B8" i="4"/>
  <c r="I7" i="7"/>
  <c r="J21" i="4"/>
  <c r="J17" i="5" s="1"/>
  <c r="I21" i="4"/>
  <c r="I17" i="5" s="1"/>
  <c r="H21" i="4"/>
  <c r="H17" i="5" s="1"/>
  <c r="J20" i="4"/>
  <c r="J16" i="5" s="1"/>
  <c r="I20" i="4"/>
  <c r="I16" i="5" s="1"/>
  <c r="H20" i="4"/>
  <c r="H16" i="5" s="1"/>
  <c r="K39" i="7"/>
  <c r="J39" i="7"/>
  <c r="I39" i="7"/>
  <c r="G21" i="4"/>
  <c r="G17" i="5" s="1"/>
  <c r="F21" i="4"/>
  <c r="F17" i="5" s="1"/>
  <c r="E21" i="4"/>
  <c r="E17" i="5" s="1"/>
  <c r="G20" i="4"/>
  <c r="G16" i="5" s="1"/>
  <c r="F20" i="4"/>
  <c r="F16" i="5" s="1"/>
  <c r="F13" i="5" s="1"/>
  <c r="E20" i="4"/>
  <c r="E16" i="5" s="1"/>
  <c r="E7" i="4"/>
  <c r="D7" i="4"/>
  <c r="F7" i="4"/>
  <c r="G7" i="4"/>
  <c r="H7" i="4"/>
  <c r="I7" i="4"/>
  <c r="J7" i="4"/>
  <c r="C33" i="7"/>
  <c r="D33" i="7"/>
  <c r="C7" i="4"/>
  <c r="D21" i="4"/>
  <c r="D17" i="5" s="1"/>
  <c r="D20" i="4"/>
  <c r="D16" i="5" s="1"/>
  <c r="C21" i="4"/>
  <c r="C17" i="5" s="1"/>
  <c r="C20" i="4"/>
  <c r="C16" i="5" s="1"/>
  <c r="B20" i="4"/>
  <c r="B21" i="4"/>
  <c r="K23" i="4"/>
  <c r="K25" i="4" s="1"/>
  <c r="K27" i="4" s="1"/>
  <c r="K8" i="5" s="1"/>
  <c r="K9" i="5" s="1"/>
  <c r="K12" i="5" s="1"/>
  <c r="B17" i="5"/>
  <c r="D39" i="7"/>
  <c r="E39" i="7"/>
  <c r="F39" i="7"/>
  <c r="G39" i="7"/>
  <c r="H39" i="7"/>
  <c r="C39" i="7"/>
  <c r="M38" i="7"/>
  <c r="M37" i="7"/>
  <c r="C1" i="4"/>
  <c r="D1" i="4" s="1"/>
  <c r="E1" i="4" s="1"/>
  <c r="F1" i="4" s="1"/>
  <c r="G1" i="4" s="1"/>
  <c r="H1" i="4" s="1"/>
  <c r="I1" i="4" s="1"/>
  <c r="J1" i="4" s="1"/>
  <c r="K1" i="4" s="1"/>
  <c r="E28" i="7"/>
  <c r="B16" i="5" l="1"/>
  <c r="B17" i="4"/>
  <c r="M39" i="7"/>
  <c r="B32" i="4"/>
  <c r="B7" i="5" s="1"/>
  <c r="B3" i="5"/>
  <c r="B10" i="4"/>
  <c r="B11" i="4"/>
  <c r="B13" i="4" s="1"/>
  <c r="B4" i="5" s="1"/>
  <c r="J8" i="4"/>
  <c r="K20" i="5"/>
  <c r="K25" i="5"/>
  <c r="H8" i="4"/>
  <c r="E8" i="4"/>
  <c r="C8" i="4"/>
  <c r="G8" i="4"/>
  <c r="F8" i="4"/>
  <c r="I8" i="4"/>
  <c r="D8" i="4"/>
  <c r="D13" i="5"/>
  <c r="H17" i="4"/>
  <c r="D17" i="4"/>
  <c r="B13" i="5"/>
  <c r="J17" i="4"/>
  <c r="H13" i="5"/>
  <c r="E13" i="5"/>
  <c r="G17" i="4"/>
  <c r="I13" i="7"/>
  <c r="G15" i="7"/>
  <c r="G16" i="7"/>
  <c r="I11" i="7"/>
  <c r="I9" i="7"/>
  <c r="J13" i="5"/>
  <c r="F17" i="4"/>
  <c r="E33" i="7"/>
  <c r="M33" i="7" s="1"/>
  <c r="I17" i="4"/>
  <c r="I13" i="5"/>
  <c r="E17" i="4"/>
  <c r="G13" i="5"/>
  <c r="B5" i="5" l="1"/>
  <c r="B6" i="5" s="1"/>
  <c r="B14" i="4"/>
  <c r="F32" i="4"/>
  <c r="F7" i="5" s="1"/>
  <c r="F10" i="4"/>
  <c r="F3" i="5"/>
  <c r="F11" i="4"/>
  <c r="F13" i="4" s="1"/>
  <c r="F4" i="5" s="1"/>
  <c r="C11" i="4"/>
  <c r="C32" i="4"/>
  <c r="C3" i="5"/>
  <c r="G32" i="4"/>
  <c r="G7" i="5" s="1"/>
  <c r="G10" i="4"/>
  <c r="G11" i="4"/>
  <c r="G3" i="5"/>
  <c r="E32" i="4"/>
  <c r="E7" i="5" s="1"/>
  <c r="E3" i="5"/>
  <c r="J10" i="4"/>
  <c r="J3" i="5"/>
  <c r="J11" i="4"/>
  <c r="J13" i="4" s="1"/>
  <c r="J4" i="5" s="1"/>
  <c r="D32" i="4"/>
  <c r="D7" i="5" s="1"/>
  <c r="D3" i="5"/>
  <c r="H3" i="5"/>
  <c r="H11" i="4"/>
  <c r="H10" i="4"/>
  <c r="I11" i="4"/>
  <c r="I3" i="5"/>
  <c r="I10" i="4"/>
  <c r="J32" i="4"/>
  <c r="J7" i="5" s="1"/>
  <c r="B23" i="4"/>
  <c r="B25" i="4" s="1"/>
  <c r="B27" i="4" s="1"/>
  <c r="E10" i="4"/>
  <c r="E11" i="4"/>
  <c r="D11" i="4"/>
  <c r="D10" i="4"/>
  <c r="C10" i="4"/>
  <c r="B15" i="4"/>
  <c r="I32" i="4"/>
  <c r="I7" i="5" s="1"/>
  <c r="C7" i="5"/>
  <c r="H32" i="4"/>
  <c r="H7" i="5" s="1"/>
  <c r="G17" i="7"/>
  <c r="I15" i="7"/>
  <c r="G18" i="7"/>
  <c r="I13" i="4" l="1"/>
  <c r="G13" i="4"/>
  <c r="J14" i="4"/>
  <c r="J15" i="4" s="1"/>
  <c r="F23" i="4"/>
  <c r="F25" i="4" s="1"/>
  <c r="F27" i="4" s="1"/>
  <c r="F8" i="5" s="1"/>
  <c r="J23" i="4"/>
  <c r="J25" i="4" s="1"/>
  <c r="J27" i="4" s="1"/>
  <c r="J8" i="5" s="1"/>
  <c r="J5" i="5"/>
  <c r="J6" i="5" s="1"/>
  <c r="F5" i="5"/>
  <c r="D13" i="4"/>
  <c r="D14" i="4" s="1"/>
  <c r="D15" i="4" s="1"/>
  <c r="I14" i="4"/>
  <c r="I15" i="4" s="1"/>
  <c r="E13" i="4"/>
  <c r="E14" i="4" s="1"/>
  <c r="E15" i="4" s="1"/>
  <c r="H13" i="4"/>
  <c r="C13" i="4"/>
  <c r="G19" i="7"/>
  <c r="I17" i="7"/>
  <c r="G20" i="7"/>
  <c r="F14" i="4"/>
  <c r="F15" i="4" s="1"/>
  <c r="C13" i="5"/>
  <c r="C17" i="4"/>
  <c r="B8" i="5"/>
  <c r="B9" i="5" s="1"/>
  <c r="B12" i="5" s="1"/>
  <c r="G4" i="5" l="1"/>
  <c r="G5" i="5" s="1"/>
  <c r="G23" i="4"/>
  <c r="G25" i="4" s="1"/>
  <c r="G27" i="4" s="1"/>
  <c r="G8" i="5" s="1"/>
  <c r="G9" i="5" s="1"/>
  <c r="G12" i="5" s="1"/>
  <c r="G14" i="4"/>
  <c r="G15" i="4" s="1"/>
  <c r="J9" i="5"/>
  <c r="J12" i="5" s="1"/>
  <c r="J20" i="5" s="1"/>
  <c r="I4" i="5"/>
  <c r="I5" i="5" s="1"/>
  <c r="I23" i="4"/>
  <c r="I25" i="4" s="1"/>
  <c r="I27" i="4" s="1"/>
  <c r="I8" i="5" s="1"/>
  <c r="I9" i="5" s="1"/>
  <c r="I12" i="5" s="1"/>
  <c r="I25" i="5" s="1"/>
  <c r="J24" i="5"/>
  <c r="E23" i="4"/>
  <c r="E25" i="4" s="1"/>
  <c r="E27" i="4" s="1"/>
  <c r="E8" i="5" s="1"/>
  <c r="E4" i="5"/>
  <c r="E5" i="5" s="1"/>
  <c r="D23" i="4"/>
  <c r="D25" i="4" s="1"/>
  <c r="D27" i="4" s="1"/>
  <c r="D8" i="5" s="1"/>
  <c r="D4" i="5"/>
  <c r="D5" i="5" s="1"/>
  <c r="D6" i="5" s="1"/>
  <c r="C23" i="4"/>
  <c r="C25" i="4" s="1"/>
  <c r="C4" i="5"/>
  <c r="C5" i="5" s="1"/>
  <c r="C6" i="5" s="1"/>
  <c r="C14" i="4"/>
  <c r="C15" i="4" s="1"/>
  <c r="H4" i="5"/>
  <c r="H5" i="5" s="1"/>
  <c r="H23" i="4"/>
  <c r="H25" i="4" s="1"/>
  <c r="H27" i="4" s="1"/>
  <c r="H8" i="5" s="1"/>
  <c r="H9" i="5" s="1"/>
  <c r="H12" i="5" s="1"/>
  <c r="H25" i="5" s="1"/>
  <c r="H14" i="4"/>
  <c r="H15" i="4" s="1"/>
  <c r="B20" i="5"/>
  <c r="B25" i="5"/>
  <c r="C27" i="4"/>
  <c r="C8" i="5" s="1"/>
  <c r="C9" i="5" s="1"/>
  <c r="C12" i="5" s="1"/>
  <c r="G21" i="7"/>
  <c r="I19" i="7"/>
  <c r="G22" i="7"/>
  <c r="J25" i="5"/>
  <c r="F24" i="5"/>
  <c r="F6" i="5"/>
  <c r="F9" i="5"/>
  <c r="F12" i="5" s="1"/>
  <c r="G6" i="5"/>
  <c r="G24" i="5"/>
  <c r="E24" i="5"/>
  <c r="I20" i="5"/>
  <c r="D24" i="5"/>
  <c r="D9" i="5" l="1"/>
  <c r="D12" i="5" s="1"/>
  <c r="H20" i="5"/>
  <c r="E9" i="5"/>
  <c r="E12" i="5" s="1"/>
  <c r="E25" i="5" s="1"/>
  <c r="I6" i="5"/>
  <c r="I24" i="5"/>
  <c r="E6" i="5"/>
  <c r="H24" i="5"/>
  <c r="H6" i="5"/>
  <c r="G23" i="7"/>
  <c r="I21" i="7"/>
  <c r="G24" i="7"/>
  <c r="F25" i="5"/>
  <c r="F20" i="5"/>
  <c r="D25" i="5"/>
  <c r="D20" i="5"/>
  <c r="B21" i="5"/>
  <c r="G20" i="5"/>
  <c r="G25" i="5"/>
  <c r="C20" i="5"/>
  <c r="C25" i="5"/>
  <c r="E20" i="5" l="1"/>
  <c r="B22" i="5"/>
  <c r="B23" i="5" s="1"/>
  <c r="C21" i="5"/>
  <c r="C22" i="5" s="1"/>
  <c r="C23" i="5" s="1"/>
  <c r="G25" i="7"/>
  <c r="I23" i="7"/>
  <c r="I28" i="7" s="1"/>
  <c r="G26" i="7"/>
  <c r="D21" i="5" l="1"/>
  <c r="D22" i="5" s="1"/>
  <c r="D23" i="5" s="1"/>
  <c r="E21" i="5" l="1"/>
  <c r="F21" i="5" l="1"/>
  <c r="E22" i="5"/>
  <c r="E23" i="5" s="1"/>
  <c r="G21" i="5" l="1"/>
  <c r="F22" i="5"/>
  <c r="F23" i="5" s="1"/>
  <c r="G22" i="5" l="1"/>
  <c r="G23" i="5" s="1"/>
  <c r="H21" i="5"/>
  <c r="I21" i="5" l="1"/>
  <c r="H22" i="5"/>
  <c r="H23" i="5" s="1"/>
  <c r="J21" i="5" l="1"/>
  <c r="I22" i="5"/>
  <c r="I23" i="5" s="1"/>
  <c r="J22" i="5" l="1"/>
  <c r="J23" i="5" s="1"/>
  <c r="K21" i="5"/>
  <c r="K22" i="5" s="1"/>
  <c r="K23" i="5" s="1"/>
  <c r="F28" i="7"/>
</calcChain>
</file>

<file path=xl/sharedStrings.xml><?xml version="1.0" encoding="utf-8"?>
<sst xmlns="http://schemas.openxmlformats.org/spreadsheetml/2006/main" count="109" uniqueCount="80">
  <si>
    <t xml:space="preserve">Kapasite  </t>
  </si>
  <si>
    <t>Kapasite Kullanım Oranı</t>
  </si>
  <si>
    <t>Gün Sayısı</t>
  </si>
  <si>
    <t>Üretim Miktarı</t>
  </si>
  <si>
    <t>Birim Satış Fiyatı</t>
  </si>
  <si>
    <t>Satış Geliri</t>
  </si>
  <si>
    <t>TOPLAM GELİR</t>
  </si>
  <si>
    <t>Operasyonel Giderler</t>
  </si>
  <si>
    <t>Operasyonel ve Teknik Giderler</t>
  </si>
  <si>
    <t>SMM</t>
  </si>
  <si>
    <t>Faaliyet Giderleri</t>
  </si>
  <si>
    <t>TOPLAM GİDER</t>
  </si>
  <si>
    <t xml:space="preserve">AFVÖK </t>
  </si>
  <si>
    <t>AFVÖK Marjı</t>
  </si>
  <si>
    <t>Amortisman</t>
  </si>
  <si>
    <t>Borç Servisi Hesabı</t>
  </si>
  <si>
    <t>Vergi Öncesi Kar</t>
  </si>
  <si>
    <t>Geçmiş Yıl Zararını Pozitif Girin</t>
  </si>
  <si>
    <t>Vergi Matrahı</t>
  </si>
  <si>
    <t>Kurumlar Vergisi</t>
  </si>
  <si>
    <t>Vergi</t>
  </si>
  <si>
    <t>Alacak Tahsil Süresi (gün)</t>
  </si>
  <si>
    <t>Borç Ödeme Süresi (gün)</t>
  </si>
  <si>
    <t>Stok Devir Süresi (gün)</t>
  </si>
  <si>
    <t>İşletme Sermayesi İhtiyacı</t>
  </si>
  <si>
    <t>CİRO</t>
  </si>
  <si>
    <t>AFVÖK</t>
  </si>
  <si>
    <t>AFVÖK Marjı (%)</t>
  </si>
  <si>
    <t>Faaliyet. Doğan Nakit Akımı</t>
  </si>
  <si>
    <t>Yatırım</t>
  </si>
  <si>
    <t>Temettü Ödemesi</t>
  </si>
  <si>
    <t>Serbest Nakit Akım</t>
  </si>
  <si>
    <t>Borç Servisi</t>
  </si>
  <si>
    <t xml:space="preserve">    Anapara-Akbank</t>
  </si>
  <si>
    <t xml:space="preserve">    Faiz-Akbank</t>
  </si>
  <si>
    <t xml:space="preserve">    Anapara-Diğer Banka</t>
  </si>
  <si>
    <t xml:space="preserve">    Faiz-Diğer Banka</t>
  </si>
  <si>
    <t>Sermaye</t>
  </si>
  <si>
    <t>Kredi</t>
  </si>
  <si>
    <t xml:space="preserve">Dönem Sonu Nakit </t>
  </si>
  <si>
    <t>Dönem Sonu Kümülatif</t>
  </si>
  <si>
    <t>Net Finansal Borç</t>
  </si>
  <si>
    <t>Net Finansal Borç/AFVÖK</t>
  </si>
  <si>
    <t>AFVÖK/Faiz Ödemesi</t>
  </si>
  <si>
    <t>Borç Servisi Karşılama Oranı</t>
  </si>
  <si>
    <t>LIBOR</t>
  </si>
  <si>
    <t>SPREAD</t>
  </si>
  <si>
    <t>FAİZ</t>
  </si>
  <si>
    <t>TARİH</t>
  </si>
  <si>
    <t>GÜN SAYISI</t>
  </si>
  <si>
    <t>ANAPARA ÖDEME</t>
  </si>
  <si>
    <t>BAKİYE ANAPARA</t>
  </si>
  <si>
    <t>Toplam Anapara</t>
  </si>
  <si>
    <t>Toplam Faiz</t>
  </si>
  <si>
    <t>TOPLAM</t>
  </si>
  <si>
    <t>Akbank</t>
  </si>
  <si>
    <t>Anapara</t>
  </si>
  <si>
    <t>Faiz</t>
  </si>
  <si>
    <t>Toplam</t>
  </si>
  <si>
    <t>Diğer Banka</t>
  </si>
  <si>
    <t>2018</t>
  </si>
  <si>
    <t>2019</t>
  </si>
  <si>
    <t/>
  </si>
  <si>
    <t>2020</t>
  </si>
  <si>
    <t>2021</t>
  </si>
  <si>
    <t>2022</t>
  </si>
  <si>
    <t>2023</t>
  </si>
  <si>
    <t>2024</t>
  </si>
  <si>
    <t>2025</t>
  </si>
  <si>
    <t>2026</t>
  </si>
  <si>
    <t>2027</t>
  </si>
  <si>
    <t>Fabrika</t>
  </si>
  <si>
    <t>İşl.Serm.</t>
  </si>
  <si>
    <t>NAKİT AKIM TABLOSU (EURO)</t>
  </si>
  <si>
    <t>BAZ SENARYO (EURO)</t>
  </si>
  <si>
    <t>EURO</t>
  </si>
  <si>
    <t>Anapara Ödemesi</t>
  </si>
  <si>
    <t>Faiz Ödemesi</t>
  </si>
  <si>
    <t>Alternatif Banka Anapara</t>
  </si>
  <si>
    <t>Alternatif Banka Faiz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</si>
</sst>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₺_-;\-* #,##0.00\ _₺_-;_-* &quot;-&quot;??\ _₺_-;_-@_-"/>
    <numFmt numFmtId="164" formatCode="#,##0.0"/>
    <numFmt numFmtId="165" formatCode="#,##0.000"/>
    <numFmt numFmtId="166" formatCode="[$$-409]#,##0.00"/>
  </numFmts>
  <fonts count="15" x14ac:knownFonts="1">
    <font>
      <sz val="10"/>
      <name val="Arial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b/>
      <i/>
      <sz val="10"/>
      <color indexed="8"/>
      <name val="Arial"/>
      <family val="2"/>
      <charset val="162"/>
    </font>
    <font>
      <i/>
      <sz val="10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8"/>
      <name val="Arial"/>
      <family val="2"/>
      <charset val="162"/>
    </font>
    <font>
      <i/>
      <sz val="8"/>
      <name val="Arial"/>
      <family val="2"/>
      <charset val="162"/>
    </font>
    <font>
      <b/>
      <i/>
      <sz val="8"/>
      <name val="Arial"/>
      <family val="2"/>
      <charset val="162"/>
    </font>
    <font>
      <b/>
      <sz val="10"/>
      <color indexed="10"/>
      <name val="Arial"/>
      <family val="2"/>
      <charset val="162"/>
    </font>
    <font>
      <sz val="10"/>
      <name val="Arial"/>
      <charset val="162"/>
    </font>
    <font>
      <b/>
      <sz val="10"/>
      <color rgb="FFFF0000"/>
      <name val="Arial"/>
      <family val="2"/>
      <charset val="162"/>
    </font>
    <font>
      <sz val="10"/>
      <color rgb="FFFF0000"/>
      <name val="Arial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07">
    <xf numFmtId="0" fontId="0" fillId="0" borderId="0" xfId="0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1" xfId="0" applyFont="1" applyFill="1" applyBorder="1"/>
    <xf numFmtId="0" fontId="5" fillId="0" borderId="1" xfId="0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10" fontId="2" fillId="0" borderId="1" xfId="0" applyNumberFormat="1" applyFont="1" applyFill="1" applyBorder="1" applyAlignment="1">
      <alignment horizontal="right"/>
    </xf>
    <xf numFmtId="3" fontId="8" fillId="3" borderId="0" xfId="0" applyNumberFormat="1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/>
    </xf>
    <xf numFmtId="3" fontId="8" fillId="3" borderId="3" xfId="0" applyNumberFormat="1" applyFont="1" applyFill="1" applyBorder="1" applyAlignment="1">
      <alignment horizontal="left" vertical="center"/>
    </xf>
    <xf numFmtId="3" fontId="8" fillId="5" borderId="2" xfId="0" applyNumberFormat="1" applyFont="1" applyFill="1" applyBorder="1"/>
    <xf numFmtId="3" fontId="8" fillId="5" borderId="2" xfId="0" applyNumberFormat="1" applyFont="1" applyFill="1" applyBorder="1" applyAlignment="1">
      <alignment horizontal="left" vertical="center"/>
    </xf>
    <xf numFmtId="3" fontId="10" fillId="3" borderId="3" xfId="0" applyNumberFormat="1" applyFont="1" applyFill="1" applyBorder="1" applyAlignment="1">
      <alignment horizontal="left" vertical="center"/>
    </xf>
    <xf numFmtId="3" fontId="8" fillId="5" borderId="2" xfId="0" applyNumberFormat="1" applyFont="1" applyFill="1" applyBorder="1" applyAlignment="1">
      <alignment horizontal="left" vertical="center" wrapText="1"/>
    </xf>
    <xf numFmtId="3" fontId="8" fillId="5" borderId="4" xfId="0" applyNumberFormat="1" applyFont="1" applyFill="1" applyBorder="1" applyAlignment="1">
      <alignment horizontal="right" vertical="center"/>
    </xf>
    <xf numFmtId="3" fontId="9" fillId="3" borderId="0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10" fontId="8" fillId="3" borderId="0" xfId="0" applyNumberFormat="1" applyFont="1" applyFill="1" applyBorder="1" applyAlignment="1">
      <alignment horizontal="right" vertical="center"/>
    </xf>
    <xf numFmtId="3" fontId="8" fillId="5" borderId="4" xfId="0" applyNumberFormat="1" applyFont="1" applyFill="1" applyBorder="1" applyAlignment="1">
      <alignment horizontal="right"/>
    </xf>
    <xf numFmtId="3" fontId="1" fillId="0" borderId="0" xfId="0" applyNumberFormat="1" applyFont="1"/>
    <xf numFmtId="3" fontId="1" fillId="0" borderId="1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left" vertical="center"/>
    </xf>
    <xf numFmtId="3" fontId="3" fillId="3" borderId="8" xfId="0" applyNumberFormat="1" applyFont="1" applyFill="1" applyBorder="1" applyAlignment="1">
      <alignment horizontal="left" vertical="center"/>
    </xf>
    <xf numFmtId="166" fontId="1" fillId="0" borderId="0" xfId="0" applyNumberFormat="1" applyFont="1"/>
    <xf numFmtId="166" fontId="0" fillId="0" borderId="0" xfId="0" applyNumberFormat="1" applyAlignment="1">
      <alignment horizontal="right"/>
    </xf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0" borderId="1" xfId="0" applyNumberFormat="1" applyBorder="1"/>
    <xf numFmtId="166" fontId="2" fillId="6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/>
    </xf>
    <xf numFmtId="166" fontId="0" fillId="0" borderId="9" xfId="0" applyNumberFormat="1" applyFill="1" applyBorder="1" applyAlignment="1">
      <alignment horizontal="center"/>
    </xf>
    <xf numFmtId="166" fontId="2" fillId="0" borderId="9" xfId="0" applyNumberFormat="1" applyFont="1" applyFill="1" applyBorder="1" applyAlignment="1">
      <alignment vertical="center" wrapText="1"/>
    </xf>
    <xf numFmtId="166" fontId="2" fillId="0" borderId="9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/>
    <xf numFmtId="166" fontId="2" fillId="2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/>
    <xf numFmtId="166" fontId="0" fillId="0" borderId="0" xfId="0" applyNumberFormat="1" applyFill="1"/>
    <xf numFmtId="166" fontId="1" fillId="0" borderId="1" xfId="0" applyNumberFormat="1" applyFont="1" applyBorder="1"/>
    <xf numFmtId="166" fontId="2" fillId="6" borderId="1" xfId="0" applyNumberFormat="1" applyFont="1" applyFill="1" applyBorder="1" applyAlignment="1">
      <alignment horizontal="center"/>
    </xf>
    <xf numFmtId="166" fontId="0" fillId="6" borderId="1" xfId="0" applyNumberFormat="1" applyFill="1" applyBorder="1"/>
    <xf numFmtId="166" fontId="0" fillId="0" borderId="1" xfId="0" applyNumberFormat="1" applyBorder="1" applyAlignment="1">
      <alignment horizontal="right"/>
    </xf>
    <xf numFmtId="166" fontId="0" fillId="4" borderId="1" xfId="0" applyNumberFormat="1" applyFill="1" applyBorder="1"/>
    <xf numFmtId="0" fontId="0" fillId="0" borderId="1" xfId="0" applyNumberFormat="1" applyFill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0" fontId="0" fillId="0" borderId="9" xfId="0" applyNumberFormat="1" applyFill="1" applyBorder="1" applyAlignment="1">
      <alignment horizontal="center"/>
    </xf>
    <xf numFmtId="166" fontId="0" fillId="4" borderId="1" xfId="0" quotePrefix="1" applyNumberFormat="1" applyFill="1" applyBorder="1"/>
    <xf numFmtId="166" fontId="2" fillId="6" borderId="1" xfId="0" quotePrefix="1" applyNumberFormat="1" applyFont="1" applyFill="1" applyBorder="1" applyAlignment="1">
      <alignment horizontal="center"/>
    </xf>
    <xf numFmtId="3" fontId="3" fillId="3" borderId="0" xfId="0" applyNumberFormat="1" applyFont="1" applyFill="1" applyBorder="1" applyAlignment="1">
      <alignment horizontal="right" vertical="center"/>
    </xf>
    <xf numFmtId="3" fontId="8" fillId="5" borderId="8" xfId="0" applyNumberFormat="1" applyFont="1" applyFill="1" applyBorder="1" applyAlignment="1">
      <alignment horizontal="left" vertical="center" wrapText="1"/>
    </xf>
    <xf numFmtId="2" fontId="8" fillId="5" borderId="7" xfId="0" applyNumberFormat="1" applyFont="1" applyFill="1" applyBorder="1" applyAlignment="1">
      <alignment horizontal="right" vertical="center"/>
    </xf>
    <xf numFmtId="0" fontId="11" fillId="0" borderId="1" xfId="0" applyFont="1" applyFill="1" applyBorder="1"/>
    <xf numFmtId="3" fontId="11" fillId="0" borderId="1" xfId="0" applyNumberFormat="1" applyFont="1" applyFill="1" applyBorder="1" applyAlignment="1">
      <alignment horizontal="right"/>
    </xf>
    <xf numFmtId="0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1" fillId="0" borderId="0" xfId="0" applyFont="1"/>
    <xf numFmtId="10" fontId="1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3" fontId="3" fillId="3" borderId="5" xfId="0" applyNumberFormat="1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164" fontId="3" fillId="3" borderId="0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left" vertical="center"/>
    </xf>
    <xf numFmtId="164" fontId="3" fillId="3" borderId="7" xfId="0" applyNumberFormat="1" applyFont="1" applyFill="1" applyBorder="1" applyAlignment="1">
      <alignment horizontal="right" vertical="center"/>
    </xf>
    <xf numFmtId="14" fontId="0" fillId="4" borderId="1" xfId="0" applyNumberFormat="1" applyFill="1" applyBorder="1" applyAlignment="1">
      <alignment horizontal="right"/>
    </xf>
    <xf numFmtId="14" fontId="0" fillId="0" borderId="1" xfId="0" applyNumberFormat="1" applyFill="1" applyBorder="1" applyAlignment="1">
      <alignment horizontal="right"/>
    </xf>
    <xf numFmtId="10" fontId="0" fillId="0" borderId="0" xfId="0" applyNumberFormat="1" applyAlignment="1">
      <alignment horizontal="right"/>
    </xf>
    <xf numFmtId="14" fontId="14" fillId="3" borderId="1" xfId="0" applyNumberFormat="1" applyFont="1" applyFill="1" applyBorder="1" applyAlignment="1">
      <alignment horizontal="right"/>
    </xf>
    <xf numFmtId="166" fontId="14" fillId="3" borderId="1" xfId="0" applyNumberFormat="1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0" fontId="14" fillId="3" borderId="1" xfId="0" applyNumberFormat="1" applyFont="1" applyFill="1" applyBorder="1" applyAlignment="1">
      <alignment horizontal="left"/>
    </xf>
    <xf numFmtId="43" fontId="0" fillId="0" borderId="9" xfId="2" applyFont="1" applyFill="1" applyBorder="1"/>
    <xf numFmtId="43" fontId="0" fillId="0" borderId="9" xfId="2" applyFont="1" applyFill="1" applyBorder="1" applyAlignment="1">
      <alignment horizontal="right"/>
    </xf>
    <xf numFmtId="4" fontId="14" fillId="3" borderId="1" xfId="2" applyNumberFormat="1" applyFont="1" applyFill="1" applyBorder="1" applyAlignment="1"/>
    <xf numFmtId="4" fontId="0" fillId="4" borderId="1" xfId="2" applyNumberFormat="1" applyFont="1" applyFill="1" applyBorder="1" applyAlignment="1"/>
    <xf numFmtId="4" fontId="0" fillId="0" borderId="1" xfId="2" applyNumberFormat="1" applyFont="1" applyFill="1" applyBorder="1" applyAlignment="1"/>
    <xf numFmtId="4" fontId="0" fillId="3" borderId="1" xfId="2" applyNumberFormat="1" applyFont="1" applyFill="1" applyBorder="1" applyAlignment="1"/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6" fontId="2" fillId="0" borderId="1" xfId="0" applyNumberFormat="1" applyFont="1" applyBorder="1"/>
    <xf numFmtId="0" fontId="8" fillId="7" borderId="11" xfId="0" applyFont="1" applyFill="1" applyBorder="1" applyAlignment="1">
      <alignment horizontal="left"/>
    </xf>
    <xf numFmtId="0" fontId="8" fillId="7" borderId="4" xfId="0" applyFont="1" applyFill="1" applyBorder="1" applyAlignment="1">
      <alignment horizontal="left"/>
    </xf>
    <xf numFmtId="0" fontId="8" fillId="7" borderId="10" xfId="0" applyFont="1" applyFill="1" applyBorder="1" applyAlignment="1">
      <alignment horizontal="left"/>
    </xf>
    <xf numFmtId="4" fontId="14" fillId="3" borderId="12" xfId="2" applyNumberFormat="1" applyFont="1" applyFill="1" applyBorder="1" applyAlignment="1">
      <alignment vertical="center"/>
    </xf>
    <xf numFmtId="4" fontId="14" fillId="3" borderId="9" xfId="2" applyNumberFormat="1" applyFont="1" applyFill="1" applyBorder="1" applyAlignment="1">
      <alignment vertical="center"/>
    </xf>
    <xf numFmtId="4" fontId="0" fillId="4" borderId="12" xfId="2" applyNumberFormat="1" applyFont="1" applyFill="1" applyBorder="1" applyAlignment="1">
      <alignment vertical="center"/>
    </xf>
    <xf numFmtId="4" fontId="0" fillId="4" borderId="9" xfId="2" applyNumberFormat="1" applyFont="1" applyFill="1" applyBorder="1" applyAlignment="1">
      <alignment vertical="center"/>
    </xf>
    <xf numFmtId="4" fontId="0" fillId="0" borderId="12" xfId="2" applyNumberFormat="1" applyFont="1" applyFill="1" applyBorder="1" applyAlignment="1">
      <alignment vertical="center"/>
    </xf>
    <xf numFmtId="4" fontId="0" fillId="0" borderId="9" xfId="2" applyNumberFormat="1" applyFont="1" applyFill="1" applyBorder="1" applyAlignment="1">
      <alignment vertical="center"/>
    </xf>
    <xf numFmtId="14" fontId="13" fillId="4" borderId="1" xfId="0" quotePrefix="1" applyNumberFormat="1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14" fontId="2" fillId="3" borderId="1" xfId="0" quotePrefix="1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2" fillId="4" borderId="1" xfId="0" quotePrefix="1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3" fontId="1" fillId="8" borderId="1" xfId="0" applyNumberFormat="1" applyFont="1" applyFill="1" applyBorder="1" applyAlignment="1" applyProtection="1">
      <alignment horizontal="right"/>
      <protection locked="0"/>
    </xf>
    <xf numFmtId="9" fontId="1" fillId="8" borderId="1" xfId="1" applyFont="1" applyFill="1" applyBorder="1" applyAlignment="1" applyProtection="1">
      <alignment horizontal="right"/>
      <protection locked="0"/>
    </xf>
    <xf numFmtId="165" fontId="1" fillId="8" borderId="1" xfId="0" applyNumberFormat="1" applyFont="1" applyFill="1" applyBorder="1" applyAlignment="1" applyProtection="1">
      <alignment horizontal="right"/>
      <protection locked="0"/>
    </xf>
  </cellXfs>
  <cellStyles count="3">
    <cellStyle name="Normal" xfId="0" builtinId="0"/>
    <cellStyle name="Virgül" xfId="2" builtinId="3"/>
    <cellStyle name="Yüzd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0"/>
  <sheetViews>
    <sheetView showGridLines="0" topLeftCell="A10" zoomScale="90" zoomScaleNormal="90" zoomScaleSheetLayoutView="75" workbookViewId="0">
      <selection activeCell="B23" sqref="B23"/>
    </sheetView>
  </sheetViews>
  <sheetFormatPr defaultColWidth="9.1640625" defaultRowHeight="12.3" x14ac:dyDescent="0.4"/>
  <cols>
    <col min="1" max="1" width="36.44140625" style="1" bestFit="1" customWidth="1"/>
    <col min="2" max="2" width="21" style="1" customWidth="1"/>
    <col min="3" max="3" width="14.83203125" style="1" customWidth="1"/>
    <col min="4" max="4" width="15.83203125" style="1" customWidth="1"/>
    <col min="5" max="11" width="14.83203125" style="1" bestFit="1" customWidth="1"/>
    <col min="12" max="16384" width="9.1640625" style="1"/>
  </cols>
  <sheetData>
    <row r="1" spans="1:24" ht="17.25" customHeight="1" x14ac:dyDescent="0.4">
      <c r="A1" s="7" t="s">
        <v>73</v>
      </c>
      <c r="B1" s="8">
        <v>2018</v>
      </c>
      <c r="C1" s="8">
        <f t="shared" ref="C1:K1" si="0">+B1+1</f>
        <v>2019</v>
      </c>
      <c r="D1" s="8">
        <f t="shared" si="0"/>
        <v>2020</v>
      </c>
      <c r="E1" s="8">
        <f t="shared" si="0"/>
        <v>2021</v>
      </c>
      <c r="F1" s="8">
        <f t="shared" si="0"/>
        <v>2022</v>
      </c>
      <c r="G1" s="8">
        <f t="shared" si="0"/>
        <v>2023</v>
      </c>
      <c r="H1" s="8">
        <f t="shared" si="0"/>
        <v>2024</v>
      </c>
      <c r="I1" s="8">
        <f t="shared" si="0"/>
        <v>2025</v>
      </c>
      <c r="J1" s="8">
        <f t="shared" si="0"/>
        <v>2026</v>
      </c>
      <c r="K1" s="8">
        <f t="shared" si="0"/>
        <v>2027</v>
      </c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spans="1:24" ht="17.25" customHeight="1" x14ac:dyDescent="0.4">
      <c r="A2" s="4" t="s">
        <v>0</v>
      </c>
      <c r="B2" s="26">
        <f>B5*B6</f>
        <v>0</v>
      </c>
      <c r="C2" s="26">
        <f t="shared" ref="C2:K2" si="1">C5*C6</f>
        <v>0</v>
      </c>
      <c r="D2" s="26">
        <f t="shared" si="1"/>
        <v>0</v>
      </c>
      <c r="E2" s="26">
        <f t="shared" si="1"/>
        <v>0</v>
      </c>
      <c r="F2" s="26">
        <f t="shared" si="1"/>
        <v>0</v>
      </c>
      <c r="G2" s="26">
        <f t="shared" si="1"/>
        <v>0</v>
      </c>
      <c r="H2" s="26">
        <f t="shared" si="1"/>
        <v>0</v>
      </c>
      <c r="I2" s="26">
        <f t="shared" si="1"/>
        <v>0</v>
      </c>
      <c r="J2" s="26">
        <f t="shared" si="1"/>
        <v>0</v>
      </c>
      <c r="K2" s="26">
        <f t="shared" si="1"/>
        <v>0</v>
      </c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spans="1:24" ht="17.25" customHeight="1" x14ac:dyDescent="0.4">
      <c r="A3" s="4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</row>
    <row r="4" spans="1:24" ht="17.25" customHeight="1" x14ac:dyDescent="0.4">
      <c r="A4" s="4" t="s">
        <v>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spans="1:24" ht="17.25" customHeight="1" x14ac:dyDescent="0.4">
      <c r="A5" s="4" t="s">
        <v>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</row>
    <row r="6" spans="1:24" ht="17.25" customHeight="1" x14ac:dyDescent="0.4">
      <c r="A6" s="4" t="s">
        <v>4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</row>
    <row r="7" spans="1:24" ht="17.25" customHeight="1" x14ac:dyDescent="0.4">
      <c r="A7" s="4" t="s">
        <v>5</v>
      </c>
      <c r="B7" s="26">
        <f>+B5*B6*B3</f>
        <v>0</v>
      </c>
      <c r="C7" s="26">
        <f>+C5*C6*C3</f>
        <v>0</v>
      </c>
      <c r="D7" s="26">
        <f>+D5*D6*D3</f>
        <v>0</v>
      </c>
      <c r="E7" s="26">
        <f t="shared" ref="E7:J7" si="2">E6*E3*E5</f>
        <v>0</v>
      </c>
      <c r="F7" s="26">
        <f t="shared" si="2"/>
        <v>0</v>
      </c>
      <c r="G7" s="26">
        <f t="shared" si="2"/>
        <v>0</v>
      </c>
      <c r="H7" s="26">
        <f t="shared" si="2"/>
        <v>0</v>
      </c>
      <c r="I7" s="26">
        <f t="shared" si="2"/>
        <v>0</v>
      </c>
      <c r="J7" s="26">
        <f t="shared" si="2"/>
        <v>0</v>
      </c>
      <c r="K7" s="26">
        <f t="shared" ref="K7" si="3">K6*K3*K5</f>
        <v>0</v>
      </c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</row>
    <row r="8" spans="1:24" ht="17.25" customHeight="1" x14ac:dyDescent="0.4">
      <c r="A8" s="7" t="s">
        <v>6</v>
      </c>
      <c r="B8" s="10">
        <f>+B7</f>
        <v>0</v>
      </c>
      <c r="C8" s="10">
        <f t="shared" ref="C8:J8" si="4">+C7</f>
        <v>0</v>
      </c>
      <c r="D8" s="10">
        <f t="shared" si="4"/>
        <v>0</v>
      </c>
      <c r="E8" s="10">
        <f t="shared" si="4"/>
        <v>0</v>
      </c>
      <c r="F8" s="10">
        <f t="shared" si="4"/>
        <v>0</v>
      </c>
      <c r="G8" s="10">
        <f>+G7</f>
        <v>0</v>
      </c>
      <c r="H8" s="10">
        <f t="shared" si="4"/>
        <v>0</v>
      </c>
      <c r="I8" s="10">
        <f t="shared" si="4"/>
        <v>0</v>
      </c>
      <c r="J8" s="10">
        <f t="shared" si="4"/>
        <v>0</v>
      </c>
      <c r="K8" s="10">
        <f t="shared" ref="K8" si="5">+K7</f>
        <v>0</v>
      </c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</row>
    <row r="9" spans="1:24" ht="17.25" customHeight="1" x14ac:dyDescent="0.4">
      <c r="A9" s="5" t="s">
        <v>7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</row>
    <row r="10" spans="1:24" s="2" customFormat="1" ht="17.25" customHeight="1" x14ac:dyDescent="0.45">
      <c r="A10" s="5" t="s">
        <v>8</v>
      </c>
      <c r="B10" s="26">
        <f>(B8*0.0342)+(B8*0.0343)+(B8*0.0614)</f>
        <v>0</v>
      </c>
      <c r="C10" s="26">
        <f t="shared" ref="C10:K10" si="6">(C8*0.0342)+(C8*0.0343)+(C8*0.0614)</f>
        <v>0</v>
      </c>
      <c r="D10" s="26">
        <f t="shared" si="6"/>
        <v>0</v>
      </c>
      <c r="E10" s="26">
        <f t="shared" si="6"/>
        <v>0</v>
      </c>
      <c r="F10" s="26">
        <f t="shared" si="6"/>
        <v>0</v>
      </c>
      <c r="G10" s="26">
        <f t="shared" si="6"/>
        <v>0</v>
      </c>
      <c r="H10" s="26">
        <f t="shared" si="6"/>
        <v>0</v>
      </c>
      <c r="I10" s="26">
        <f t="shared" si="6"/>
        <v>0</v>
      </c>
      <c r="J10" s="26">
        <f t="shared" si="6"/>
        <v>0</v>
      </c>
      <c r="K10" s="26">
        <f t="shared" si="6"/>
        <v>0</v>
      </c>
    </row>
    <row r="11" spans="1:24" s="2" customFormat="1" ht="17.25" customHeight="1" x14ac:dyDescent="0.45">
      <c r="A11" s="5" t="s">
        <v>9</v>
      </c>
      <c r="B11" s="26">
        <f>(B8*0.676)+(B8*0.019)</f>
        <v>0</v>
      </c>
      <c r="C11" s="26">
        <f t="shared" ref="C11:K11" si="7">(C8*0.676)+(C8*0.019)</f>
        <v>0</v>
      </c>
      <c r="D11" s="26">
        <f t="shared" si="7"/>
        <v>0</v>
      </c>
      <c r="E11" s="26">
        <f t="shared" si="7"/>
        <v>0</v>
      </c>
      <c r="F11" s="26">
        <f t="shared" si="7"/>
        <v>0</v>
      </c>
      <c r="G11" s="26">
        <f t="shared" si="7"/>
        <v>0</v>
      </c>
      <c r="H11" s="26">
        <f t="shared" si="7"/>
        <v>0</v>
      </c>
      <c r="I11" s="26">
        <f t="shared" si="7"/>
        <v>0</v>
      </c>
      <c r="J11" s="26">
        <f t="shared" si="7"/>
        <v>0</v>
      </c>
      <c r="K11" s="26">
        <f t="shared" si="7"/>
        <v>0</v>
      </c>
    </row>
    <row r="12" spans="1:24" s="2" customFormat="1" ht="17.25" customHeight="1" x14ac:dyDescent="0.45">
      <c r="A12" s="5" t="s">
        <v>10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</row>
    <row r="13" spans="1:24" s="3" customFormat="1" ht="17.25" customHeight="1" x14ac:dyDescent="0.45">
      <c r="A13" s="9" t="s">
        <v>11</v>
      </c>
      <c r="B13" s="10">
        <f>+B11+B12+B10</f>
        <v>0</v>
      </c>
      <c r="C13" s="10">
        <f t="shared" ref="C13:K13" si="8">+C11+C12+C10</f>
        <v>0</v>
      </c>
      <c r="D13" s="10">
        <f t="shared" si="8"/>
        <v>0</v>
      </c>
      <c r="E13" s="10">
        <f t="shared" si="8"/>
        <v>0</v>
      </c>
      <c r="F13" s="10">
        <f t="shared" si="8"/>
        <v>0</v>
      </c>
      <c r="G13" s="10">
        <f t="shared" si="8"/>
        <v>0</v>
      </c>
      <c r="H13" s="10">
        <f t="shared" si="8"/>
        <v>0</v>
      </c>
      <c r="I13" s="10">
        <f t="shared" si="8"/>
        <v>0</v>
      </c>
      <c r="J13" s="10">
        <f t="shared" si="8"/>
        <v>0</v>
      </c>
      <c r="K13" s="10">
        <f t="shared" si="8"/>
        <v>0</v>
      </c>
    </row>
    <row r="14" spans="1:24" ht="17.25" customHeight="1" x14ac:dyDescent="0.4">
      <c r="A14" s="4" t="s">
        <v>12</v>
      </c>
      <c r="B14" s="6">
        <f>+B8-B13</f>
        <v>0</v>
      </c>
      <c r="C14" s="6">
        <f t="shared" ref="C14:J14" si="9">+C8-C13</f>
        <v>0</v>
      </c>
      <c r="D14" s="6">
        <f t="shared" si="9"/>
        <v>0</v>
      </c>
      <c r="E14" s="6">
        <f t="shared" si="9"/>
        <v>0</v>
      </c>
      <c r="F14" s="6">
        <f t="shared" si="9"/>
        <v>0</v>
      </c>
      <c r="G14" s="6">
        <f t="shared" si="9"/>
        <v>0</v>
      </c>
      <c r="H14" s="6">
        <f t="shared" si="9"/>
        <v>0</v>
      </c>
      <c r="I14" s="6">
        <f t="shared" si="9"/>
        <v>0</v>
      </c>
      <c r="J14" s="6">
        <f t="shared" si="9"/>
        <v>0</v>
      </c>
      <c r="K14" s="6">
        <f t="shared" ref="K14" si="10">+K8-K13</f>
        <v>0</v>
      </c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</row>
    <row r="15" spans="1:24" ht="17.25" customHeight="1" x14ac:dyDescent="0.4">
      <c r="A15" s="4" t="s">
        <v>13</v>
      </c>
      <c r="B15" s="12" t="e">
        <f>+B14/B8</f>
        <v>#DIV/0!</v>
      </c>
      <c r="C15" s="12" t="e">
        <f>+C14/C8</f>
        <v>#DIV/0!</v>
      </c>
      <c r="D15" s="12" t="e">
        <f>+D14/D8</f>
        <v>#DIV/0!</v>
      </c>
      <c r="E15" s="12" t="e">
        <f>+E14/E8</f>
        <v>#DIV/0!</v>
      </c>
      <c r="F15" s="12" t="e">
        <f>+F14/F8</f>
        <v>#DIV/0!</v>
      </c>
      <c r="G15" s="12" t="e">
        <f t="shared" ref="G15:J15" si="11">+G14/G8</f>
        <v>#DIV/0!</v>
      </c>
      <c r="H15" s="12" t="e">
        <f t="shared" si="11"/>
        <v>#DIV/0!</v>
      </c>
      <c r="I15" s="12" t="e">
        <f t="shared" si="11"/>
        <v>#DIV/0!</v>
      </c>
      <c r="J15" s="12" t="e">
        <f t="shared" si="11"/>
        <v>#DIV/0!</v>
      </c>
      <c r="K15" s="12" t="e">
        <f t="shared" ref="K15" si="12">+K14/K8</f>
        <v>#DIV/0!</v>
      </c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</row>
    <row r="16" spans="1:24" ht="17.25" customHeight="1" x14ac:dyDescent="0.4">
      <c r="A16" s="11" t="s">
        <v>14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</row>
    <row r="17" spans="1:24" ht="17.25" customHeight="1" x14ac:dyDescent="0.4">
      <c r="A17" s="7" t="s">
        <v>15</v>
      </c>
      <c r="B17" s="10">
        <f>+B18+B19+B20+B21</f>
        <v>1713125.52</v>
      </c>
      <c r="C17" s="10">
        <f t="shared" ref="C17:J17" si="13">+C18+C19+C20+C21</f>
        <v>1907613.8599999999</v>
      </c>
      <c r="D17" s="10">
        <f t="shared" si="13"/>
        <v>1744205.29</v>
      </c>
      <c r="E17" s="10">
        <f t="shared" si="13"/>
        <v>1574661.37</v>
      </c>
      <c r="F17" s="10">
        <f t="shared" si="13"/>
        <v>1385683.1099999999</v>
      </c>
      <c r="G17" s="10">
        <f t="shared" si="13"/>
        <v>1188936.22</v>
      </c>
      <c r="H17" s="10">
        <f t="shared" si="13"/>
        <v>979622.12999999989</v>
      </c>
      <c r="I17" s="10">
        <f t="shared" si="13"/>
        <v>759011.9</v>
      </c>
      <c r="J17" s="10">
        <f t="shared" si="13"/>
        <v>520162.57</v>
      </c>
      <c r="K17" s="10">
        <f t="shared" ref="K17" si="14">+K18+K19+K20+K21</f>
        <v>268130.57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</row>
    <row r="18" spans="1:24" ht="17.25" customHeight="1" x14ac:dyDescent="0.4">
      <c r="A18" s="4" t="s">
        <v>76</v>
      </c>
      <c r="B18" s="6">
        <f>'Ödeme Tablosu'!C31</f>
        <v>0</v>
      </c>
      <c r="C18" s="6">
        <f>'Ödeme Tablosu'!D31</f>
        <v>0</v>
      </c>
      <c r="D18" s="6">
        <f>'Ödeme Tablosu'!E31</f>
        <v>0</v>
      </c>
      <c r="E18" s="6">
        <f>'Ödeme Tablosu'!F31</f>
        <v>0</v>
      </c>
      <c r="F18" s="6">
        <f>'Ödeme Tablosu'!G31</f>
        <v>0</v>
      </c>
      <c r="G18" s="6">
        <f>'Ödeme Tablosu'!H31</f>
        <v>0</v>
      </c>
      <c r="H18" s="6">
        <f>'Ödeme Tablosu'!I31</f>
        <v>0</v>
      </c>
      <c r="I18" s="6">
        <f>'Ödeme Tablosu'!J31</f>
        <v>0</v>
      </c>
      <c r="J18" s="6">
        <f>'Ödeme Tablosu'!K31</f>
        <v>0</v>
      </c>
      <c r="K18" s="6">
        <f>'Ödeme Tablosu'!L31</f>
        <v>0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</row>
    <row r="19" spans="1:24" ht="17.25" customHeight="1" x14ac:dyDescent="0.4">
      <c r="A19" s="4" t="s">
        <v>77</v>
      </c>
      <c r="B19" s="6">
        <f>'Ödeme Tablosu'!C32</f>
        <v>1713125.52</v>
      </c>
      <c r="C19" s="6">
        <f>'Ödeme Tablosu'!D32</f>
        <v>1907613.8599999999</v>
      </c>
      <c r="D19" s="6">
        <f>'Ödeme Tablosu'!E32</f>
        <v>1744205.29</v>
      </c>
      <c r="E19" s="6">
        <f>'Ödeme Tablosu'!F32</f>
        <v>1574661.37</v>
      </c>
      <c r="F19" s="6">
        <f>'Ödeme Tablosu'!G32</f>
        <v>1385683.1099999999</v>
      </c>
      <c r="G19" s="6">
        <f>'Ödeme Tablosu'!H32</f>
        <v>1188936.22</v>
      </c>
      <c r="H19" s="6">
        <f>'Ödeme Tablosu'!I32</f>
        <v>979622.12999999989</v>
      </c>
      <c r="I19" s="6">
        <f>'Ödeme Tablosu'!J32</f>
        <v>759011.9</v>
      </c>
      <c r="J19" s="6">
        <f>'Ödeme Tablosu'!K32</f>
        <v>520162.57</v>
      </c>
      <c r="K19" s="6">
        <f>'Ödeme Tablosu'!L32</f>
        <v>268130.57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</row>
    <row r="20" spans="1:24" ht="17.25" customHeight="1" x14ac:dyDescent="0.4">
      <c r="A20" s="57" t="s">
        <v>78</v>
      </c>
      <c r="B20" s="58">
        <f>+'Ödeme Tablosu'!C37*1.8</f>
        <v>0</v>
      </c>
      <c r="C20" s="58">
        <f>+'Ödeme Tablosu'!D37*1.8</f>
        <v>0</v>
      </c>
      <c r="D20" s="58">
        <f>+'Ödeme Tablosu'!E37*1.8</f>
        <v>0</v>
      </c>
      <c r="E20" s="6">
        <f>+'Ödeme Tablosu'!F37*1.8</f>
        <v>0</v>
      </c>
      <c r="F20" s="6">
        <f>+'Ödeme Tablosu'!G37*1.8</f>
        <v>0</v>
      </c>
      <c r="G20" s="6">
        <f>+'Ödeme Tablosu'!H37*1.8</f>
        <v>0</v>
      </c>
      <c r="H20" s="6">
        <f>+'Ödeme Tablosu'!I37*1.8</f>
        <v>0</v>
      </c>
      <c r="I20" s="6">
        <f>+'Ödeme Tablosu'!J37*1.8</f>
        <v>0</v>
      </c>
      <c r="J20" s="6">
        <f>+'Ödeme Tablosu'!K37*1.8</f>
        <v>0</v>
      </c>
      <c r="K20" s="6">
        <f>+'Ödeme Tablosu'!L37*1.8</f>
        <v>0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</row>
    <row r="21" spans="1:24" ht="17.25" customHeight="1" x14ac:dyDescent="0.4">
      <c r="A21" s="57" t="s">
        <v>79</v>
      </c>
      <c r="B21" s="58">
        <f>+'Ödeme Tablosu'!C38*1.8</f>
        <v>0</v>
      </c>
      <c r="C21" s="58">
        <f>+'Ödeme Tablosu'!D38*1.8</f>
        <v>0</v>
      </c>
      <c r="D21" s="58">
        <f>+'Ödeme Tablosu'!E38*1.8</f>
        <v>0</v>
      </c>
      <c r="E21" s="6">
        <f>+'Ödeme Tablosu'!F38*1.8</f>
        <v>0</v>
      </c>
      <c r="F21" s="6">
        <f>+'Ödeme Tablosu'!G38*1.8</f>
        <v>0</v>
      </c>
      <c r="G21" s="6">
        <f>+'Ödeme Tablosu'!H38*1.8</f>
        <v>0</v>
      </c>
      <c r="H21" s="6">
        <f>+'Ödeme Tablosu'!I38*1.8</f>
        <v>0</v>
      </c>
      <c r="I21" s="6">
        <f>+'Ödeme Tablosu'!J38*1.8</f>
        <v>0</v>
      </c>
      <c r="J21" s="6">
        <f>+'Ödeme Tablosu'!K38*1.8</f>
        <v>0</v>
      </c>
      <c r="K21" s="6">
        <f>+'Ödeme Tablosu'!L38*1.8</f>
        <v>0</v>
      </c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</row>
    <row r="22" spans="1:24" ht="17.25" customHeight="1" x14ac:dyDescent="0.4">
      <c r="A22" s="4"/>
      <c r="B22" s="6"/>
      <c r="C22" s="6"/>
      <c r="D22" s="6"/>
      <c r="E22" s="6"/>
      <c r="F22" s="6"/>
      <c r="G22" s="6"/>
      <c r="H22" s="6"/>
      <c r="I22" s="6"/>
      <c r="J22" s="6"/>
      <c r="K22" s="6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</row>
    <row r="23" spans="1:24" ht="17.25" customHeight="1" x14ac:dyDescent="0.4">
      <c r="A23" s="4" t="s">
        <v>16</v>
      </c>
      <c r="B23" s="26">
        <f>B8-(B13+B16+B19)</f>
        <v>-1713125.52</v>
      </c>
      <c r="C23" s="26">
        <f>C8-(C13+C16+C19)</f>
        <v>-1907613.8599999999</v>
      </c>
      <c r="D23" s="26">
        <f>D8-(D13+D16+D19)</f>
        <v>-1744205.29</v>
      </c>
      <c r="E23" s="26">
        <f t="shared" ref="E23:K23" si="15">E8-(E13+E16+E19)</f>
        <v>-1574661.37</v>
      </c>
      <c r="F23" s="26">
        <f t="shared" si="15"/>
        <v>-1385683.1099999999</v>
      </c>
      <c r="G23" s="26">
        <f t="shared" si="15"/>
        <v>-1188936.22</v>
      </c>
      <c r="H23" s="26">
        <f t="shared" si="15"/>
        <v>-979622.12999999989</v>
      </c>
      <c r="I23" s="26">
        <f t="shared" si="15"/>
        <v>-759011.9</v>
      </c>
      <c r="J23" s="26">
        <f t="shared" si="15"/>
        <v>-520162.57</v>
      </c>
      <c r="K23" s="26">
        <f t="shared" si="15"/>
        <v>-268130.57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</row>
    <row r="24" spans="1:24" ht="17.25" customHeight="1" x14ac:dyDescent="0.4">
      <c r="A24" s="4" t="s">
        <v>17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</row>
    <row r="25" spans="1:24" ht="17.25" customHeight="1" x14ac:dyDescent="0.4">
      <c r="A25" s="4" t="s">
        <v>18</v>
      </c>
      <c r="B25" s="26">
        <f>IF((B23-B24)&gt;0,(B23-B24),0)</f>
        <v>0</v>
      </c>
      <c r="C25" s="26">
        <f t="shared" ref="C25:J25" si="16">IF((C23-C24)&gt;0,(C23-C24),0)</f>
        <v>0</v>
      </c>
      <c r="D25" s="26">
        <f t="shared" si="16"/>
        <v>0</v>
      </c>
      <c r="E25" s="26">
        <f t="shared" si="16"/>
        <v>0</v>
      </c>
      <c r="F25" s="26">
        <f t="shared" si="16"/>
        <v>0</v>
      </c>
      <c r="G25" s="26">
        <f t="shared" si="16"/>
        <v>0</v>
      </c>
      <c r="H25" s="26">
        <f t="shared" si="16"/>
        <v>0</v>
      </c>
      <c r="I25" s="26">
        <f t="shared" si="16"/>
        <v>0</v>
      </c>
      <c r="J25" s="26">
        <f t="shared" si="16"/>
        <v>0</v>
      </c>
      <c r="K25" s="26">
        <f t="shared" ref="K25" si="17">IF((K23-K24)&gt;0,(K23-K24),0)</f>
        <v>0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</row>
    <row r="26" spans="1:24" ht="17.25" customHeight="1" x14ac:dyDescent="0.4">
      <c r="A26" s="4" t="s">
        <v>19</v>
      </c>
      <c r="B26" s="63">
        <v>0.2</v>
      </c>
      <c r="C26" s="63">
        <v>0.2</v>
      </c>
      <c r="D26" s="63">
        <v>0.2</v>
      </c>
      <c r="E26" s="63">
        <v>0.2</v>
      </c>
      <c r="F26" s="63">
        <v>0.2</v>
      </c>
      <c r="G26" s="63">
        <v>0.2</v>
      </c>
      <c r="H26" s="63">
        <v>0.2</v>
      </c>
      <c r="I26" s="63">
        <v>0.2</v>
      </c>
      <c r="J26" s="63">
        <v>0.2</v>
      </c>
      <c r="K26" s="63">
        <v>0.2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</row>
    <row r="27" spans="1:24" ht="17.25" customHeight="1" x14ac:dyDescent="0.4">
      <c r="A27" s="4" t="s">
        <v>20</v>
      </c>
      <c r="B27" s="26">
        <f>+B25*B26</f>
        <v>0</v>
      </c>
      <c r="C27" s="26">
        <f t="shared" ref="C27:K27" si="18">+C25*C26</f>
        <v>0</v>
      </c>
      <c r="D27" s="26">
        <f t="shared" si="18"/>
        <v>0</v>
      </c>
      <c r="E27" s="26">
        <f t="shared" si="18"/>
        <v>0</v>
      </c>
      <c r="F27" s="26">
        <f t="shared" si="18"/>
        <v>0</v>
      </c>
      <c r="G27" s="26">
        <f t="shared" si="18"/>
        <v>0</v>
      </c>
      <c r="H27" s="26">
        <f t="shared" si="18"/>
        <v>0</v>
      </c>
      <c r="I27" s="26">
        <f t="shared" si="18"/>
        <v>0</v>
      </c>
      <c r="J27" s="26">
        <f t="shared" si="18"/>
        <v>0</v>
      </c>
      <c r="K27" s="26">
        <f t="shared" si="18"/>
        <v>0</v>
      </c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</row>
    <row r="28" spans="1:24" ht="17.25" customHeight="1" x14ac:dyDescent="0.4">
      <c r="A28" s="4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</row>
    <row r="29" spans="1:24" ht="18" customHeight="1" x14ac:dyDescent="0.4">
      <c r="A29" s="4" t="s">
        <v>21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</row>
    <row r="30" spans="1:24" ht="18" customHeight="1" x14ac:dyDescent="0.4">
      <c r="A30" s="4" t="s">
        <v>22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</row>
    <row r="31" spans="1:24" ht="18" customHeight="1" x14ac:dyDescent="0.4">
      <c r="A31" s="4" t="s">
        <v>23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spans="1:24" ht="18" customHeight="1" x14ac:dyDescent="0.4">
      <c r="A32" s="4" t="s">
        <v>24</v>
      </c>
      <c r="B32" s="26">
        <f t="shared" ref="B32:G32" si="19">+MAX((B8)*$B$29/360-(B8)*$B$30/360+(B8)*$B$31/360,0)</f>
        <v>0</v>
      </c>
      <c r="C32" s="26">
        <f t="shared" si="19"/>
        <v>0</v>
      </c>
      <c r="D32" s="26">
        <f t="shared" si="19"/>
        <v>0</v>
      </c>
      <c r="E32" s="26">
        <f t="shared" si="19"/>
        <v>0</v>
      </c>
      <c r="F32" s="26">
        <f t="shared" si="19"/>
        <v>0</v>
      </c>
      <c r="G32" s="26">
        <f t="shared" si="19"/>
        <v>0</v>
      </c>
      <c r="H32" s="26">
        <f t="shared" ref="H32:K32" si="20">+MAX((H8)*$B$29/360-(H8)*$B$30/360+(H8)*$B$31/360,0)</f>
        <v>0</v>
      </c>
      <c r="I32" s="26">
        <f t="shared" si="20"/>
        <v>0</v>
      </c>
      <c r="J32" s="26">
        <f t="shared" si="20"/>
        <v>0</v>
      </c>
      <c r="K32" s="26">
        <f t="shared" si="20"/>
        <v>0</v>
      </c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 spans="1:24" x14ac:dyDescent="0.4">
      <c r="A33" s="64"/>
      <c r="B33" s="64"/>
      <c r="C33" s="64"/>
      <c r="D33" s="64"/>
      <c r="E33" s="64"/>
      <c r="F33" s="64"/>
      <c r="G33" s="64"/>
      <c r="H33" s="64"/>
      <c r="I33" s="64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</row>
    <row r="34" spans="1:24" x14ac:dyDescent="0.4">
      <c r="A34" s="64"/>
      <c r="B34" s="64"/>
      <c r="C34" s="64"/>
      <c r="D34" s="64"/>
      <c r="E34" s="64"/>
      <c r="F34" s="64"/>
      <c r="G34" s="64"/>
      <c r="H34" s="64"/>
      <c r="I34" s="64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</row>
    <row r="35" spans="1:24" x14ac:dyDescent="0.4">
      <c r="A35" s="64"/>
      <c r="B35" s="64"/>
      <c r="C35" s="64"/>
      <c r="D35" s="64"/>
      <c r="E35" s="64"/>
      <c r="F35" s="64"/>
      <c r="G35" s="64"/>
      <c r="H35" s="64"/>
      <c r="I35" s="64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</row>
    <row r="36" spans="1:24" x14ac:dyDescent="0.4">
      <c r="A36" s="64"/>
      <c r="B36" s="64"/>
      <c r="C36" s="64"/>
      <c r="D36" s="64"/>
      <c r="E36" s="64"/>
      <c r="F36" s="64"/>
      <c r="G36" s="64"/>
      <c r="H36" s="64"/>
      <c r="I36" s="64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</row>
    <row r="37" spans="1:24" x14ac:dyDescent="0.4">
      <c r="A37" s="64"/>
      <c r="B37" s="64"/>
      <c r="C37" s="64"/>
      <c r="D37" s="64"/>
      <c r="E37" s="64"/>
      <c r="F37" s="64"/>
      <c r="G37" s="64"/>
      <c r="H37" s="64"/>
      <c r="I37" s="64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</row>
    <row r="38" spans="1:24" x14ac:dyDescent="0.4">
      <c r="A38" s="62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</row>
    <row r="39" spans="1:24" x14ac:dyDescent="0.4">
      <c r="A39" s="62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</row>
    <row r="40" spans="1:24" x14ac:dyDescent="0.4">
      <c r="A40" s="62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</row>
    <row r="41" spans="1:24" x14ac:dyDescent="0.4">
      <c r="A41" s="62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</row>
    <row r="42" spans="1:24" x14ac:dyDescent="0.4">
      <c r="A42" s="62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</row>
    <row r="43" spans="1:24" x14ac:dyDescent="0.4">
      <c r="A43" s="62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</row>
    <row r="44" spans="1:24" x14ac:dyDescent="0.4">
      <c r="A44" s="62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</row>
    <row r="45" spans="1:24" x14ac:dyDescent="0.4">
      <c r="A45" s="62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</row>
    <row r="46" spans="1:24" x14ac:dyDescent="0.4">
      <c r="A46" s="62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</row>
    <row r="47" spans="1:24" x14ac:dyDescent="0.4">
      <c r="A47" s="62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</row>
    <row r="48" spans="1:24" x14ac:dyDescent="0.4">
      <c r="A48" s="62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</row>
    <row r="49" spans="2:24" x14ac:dyDescent="0.4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</row>
    <row r="50" spans="2:24" x14ac:dyDescent="0.4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</row>
    <row r="51" spans="2:24" x14ac:dyDescent="0.4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</row>
    <row r="52" spans="2:24" x14ac:dyDescent="0.4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</row>
    <row r="53" spans="2:24" x14ac:dyDescent="0.4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</row>
    <row r="54" spans="2:24" x14ac:dyDescent="0.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</row>
    <row r="55" spans="2:24" x14ac:dyDescent="0.4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</row>
    <row r="56" spans="2:24" x14ac:dyDescent="0.4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</row>
    <row r="57" spans="2:24" x14ac:dyDescent="0.4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</row>
    <row r="58" spans="2:24" x14ac:dyDescent="0.4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</row>
    <row r="59" spans="2:24" x14ac:dyDescent="0.4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</row>
    <row r="60" spans="2:24" x14ac:dyDescent="0.4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</row>
    <row r="61" spans="2:24" x14ac:dyDescent="0.4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</row>
    <row r="62" spans="2:24" x14ac:dyDescent="0.4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</row>
    <row r="63" spans="2:24" x14ac:dyDescent="0.4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</row>
    <row r="64" spans="2:24" x14ac:dyDescent="0.4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</row>
    <row r="65" spans="2:24" x14ac:dyDescent="0.4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</row>
    <row r="66" spans="2:24" x14ac:dyDescent="0.4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</row>
    <row r="67" spans="2:24" x14ac:dyDescent="0.4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</row>
    <row r="68" spans="2:24" x14ac:dyDescent="0.4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</row>
    <row r="69" spans="2:24" x14ac:dyDescent="0.4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</row>
    <row r="70" spans="2:24" x14ac:dyDescent="0.4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</row>
  </sheetData>
  <phoneticPr fontId="0" type="noConversion"/>
  <pageMargins left="0.19685039370078741" right="0.19685039370078741" top="0.43307086614173229" bottom="0.15748031496062992" header="0.15748031496062992" footer="0.15748031496062992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zoomScaleNormal="100" zoomScaleSheetLayoutView="100" workbookViewId="0">
      <selection activeCell="B4" sqref="B4"/>
    </sheetView>
  </sheetViews>
  <sheetFormatPr defaultColWidth="9.1640625" defaultRowHeight="12.3" x14ac:dyDescent="0.4"/>
  <cols>
    <col min="1" max="1" width="27.83203125" style="1" customWidth="1"/>
    <col min="2" max="2" width="12.5546875" style="1" customWidth="1"/>
    <col min="3" max="10" width="10.44140625" style="1" customWidth="1"/>
    <col min="11" max="11" width="10.1640625" style="1" bestFit="1" customWidth="1"/>
    <col min="12" max="12" width="10.83203125" style="1" bestFit="1" customWidth="1"/>
    <col min="13" max="16384" width="9.1640625" style="1"/>
  </cols>
  <sheetData>
    <row r="1" spans="1:12" ht="18.75" customHeight="1" thickBot="1" x14ac:dyDescent="0.45">
      <c r="A1" s="89"/>
      <c r="B1" s="90"/>
      <c r="C1" s="90"/>
      <c r="D1" s="90"/>
      <c r="E1" s="90"/>
      <c r="F1" s="90"/>
      <c r="G1" s="90"/>
      <c r="H1" s="90"/>
      <c r="I1" s="90"/>
      <c r="J1" s="90"/>
      <c r="K1" s="91"/>
      <c r="L1" s="62"/>
    </row>
    <row r="2" spans="1:12" ht="14.1" customHeight="1" thickBot="1" x14ac:dyDescent="0.45">
      <c r="A2" s="14" t="s">
        <v>74</v>
      </c>
      <c r="B2" s="22">
        <v>2018</v>
      </c>
      <c r="C2" s="22">
        <v>2019</v>
      </c>
      <c r="D2" s="22">
        <v>2020</v>
      </c>
      <c r="E2" s="22">
        <v>2021</v>
      </c>
      <c r="F2" s="22">
        <v>2022</v>
      </c>
      <c r="G2" s="22">
        <v>2023</v>
      </c>
      <c r="H2" s="22">
        <v>2024</v>
      </c>
      <c r="I2" s="22">
        <v>2025</v>
      </c>
      <c r="J2" s="22">
        <v>2026</v>
      </c>
      <c r="K2" s="22">
        <v>2027</v>
      </c>
      <c r="L2" s="62"/>
    </row>
    <row r="3" spans="1:12" ht="14.1" customHeight="1" x14ac:dyDescent="0.4">
      <c r="A3" s="15" t="s">
        <v>25</v>
      </c>
      <c r="B3" s="13">
        <f>Baz!B8</f>
        <v>0</v>
      </c>
      <c r="C3" s="13">
        <f>Baz!C8</f>
        <v>0</v>
      </c>
      <c r="D3" s="13">
        <f>Baz!D8</f>
        <v>0</v>
      </c>
      <c r="E3" s="13">
        <f>Baz!E8</f>
        <v>0</v>
      </c>
      <c r="F3" s="13">
        <f>Baz!F8</f>
        <v>0</v>
      </c>
      <c r="G3" s="13">
        <f>Baz!G8</f>
        <v>0</v>
      </c>
      <c r="H3" s="13">
        <f>Baz!H8</f>
        <v>0</v>
      </c>
      <c r="I3" s="13">
        <f>Baz!I8</f>
        <v>0</v>
      </c>
      <c r="J3" s="13">
        <f>Baz!J8</f>
        <v>0</v>
      </c>
      <c r="K3" s="13">
        <f>Baz!K8</f>
        <v>0</v>
      </c>
      <c r="L3" s="62"/>
    </row>
    <row r="4" spans="1:12" ht="14.1" customHeight="1" x14ac:dyDescent="0.4">
      <c r="A4" s="27" t="s">
        <v>7</v>
      </c>
      <c r="B4" s="54">
        <f>Baz!B13</f>
        <v>0</v>
      </c>
      <c r="C4" s="54">
        <f>Baz!C13</f>
        <v>0</v>
      </c>
      <c r="D4" s="54">
        <f>Baz!D13</f>
        <v>0</v>
      </c>
      <c r="E4" s="54">
        <f>Baz!E13</f>
        <v>0</v>
      </c>
      <c r="F4" s="54">
        <f>Baz!F13</f>
        <v>0</v>
      </c>
      <c r="G4" s="54">
        <f>Baz!G13</f>
        <v>0</v>
      </c>
      <c r="H4" s="54">
        <f>Baz!H13</f>
        <v>0</v>
      </c>
      <c r="I4" s="54">
        <f>Baz!I13</f>
        <v>0</v>
      </c>
      <c r="J4" s="54">
        <f>Baz!J13</f>
        <v>0</v>
      </c>
      <c r="K4" s="54">
        <f>Baz!K13</f>
        <v>0</v>
      </c>
      <c r="L4" s="62"/>
    </row>
    <row r="5" spans="1:12" ht="14.1" customHeight="1" x14ac:dyDescent="0.4">
      <c r="A5" s="15" t="s">
        <v>26</v>
      </c>
      <c r="B5" s="13">
        <f>+B3-B4</f>
        <v>0</v>
      </c>
      <c r="C5" s="13">
        <f t="shared" ref="C5:K5" si="0">+C3-C4</f>
        <v>0</v>
      </c>
      <c r="D5" s="13">
        <f t="shared" si="0"/>
        <v>0</v>
      </c>
      <c r="E5" s="13">
        <f t="shared" si="0"/>
        <v>0</v>
      </c>
      <c r="F5" s="13">
        <f t="shared" si="0"/>
        <v>0</v>
      </c>
      <c r="G5" s="13">
        <f t="shared" si="0"/>
        <v>0</v>
      </c>
      <c r="H5" s="13">
        <f t="shared" si="0"/>
        <v>0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25"/>
    </row>
    <row r="6" spans="1:12" ht="14.1" customHeight="1" x14ac:dyDescent="0.4">
      <c r="A6" s="15" t="s">
        <v>27</v>
      </c>
      <c r="B6" s="23" t="e">
        <f>+B5/B3</f>
        <v>#DIV/0!</v>
      </c>
      <c r="C6" s="23" t="e">
        <f>+C5/C3</f>
        <v>#DIV/0!</v>
      </c>
      <c r="D6" s="23" t="e">
        <f>+D5/D3</f>
        <v>#DIV/0!</v>
      </c>
      <c r="E6" s="23" t="e">
        <f t="shared" ref="E6:I6" si="1">+E5/E3</f>
        <v>#DIV/0!</v>
      </c>
      <c r="F6" s="23" t="e">
        <f t="shared" si="1"/>
        <v>#DIV/0!</v>
      </c>
      <c r="G6" s="23" t="e">
        <f t="shared" si="1"/>
        <v>#DIV/0!</v>
      </c>
      <c r="H6" s="23" t="e">
        <f t="shared" si="1"/>
        <v>#DIV/0!</v>
      </c>
      <c r="I6" s="23" t="e">
        <f t="shared" si="1"/>
        <v>#DIV/0!</v>
      </c>
      <c r="J6" s="23" t="e">
        <f>+J5/J3</f>
        <v>#DIV/0!</v>
      </c>
      <c r="K6" s="23" t="e">
        <f>+K5/K3</f>
        <v>#DIV/0!</v>
      </c>
      <c r="L6" s="62"/>
    </row>
    <row r="7" spans="1:12" ht="14.25" customHeight="1" x14ac:dyDescent="0.4">
      <c r="A7" s="27" t="s">
        <v>24</v>
      </c>
      <c r="B7" s="54">
        <f>+Baz!B32</f>
        <v>0</v>
      </c>
      <c r="C7" s="54">
        <f>+Baz!C32</f>
        <v>0</v>
      </c>
      <c r="D7" s="54">
        <f>+Baz!D32</f>
        <v>0</v>
      </c>
      <c r="E7" s="54">
        <f>+Baz!E32</f>
        <v>0</v>
      </c>
      <c r="F7" s="54">
        <f>+Baz!F32</f>
        <v>0</v>
      </c>
      <c r="G7" s="54">
        <f>+Baz!G32</f>
        <v>0</v>
      </c>
      <c r="H7" s="54">
        <f>+Baz!H32</f>
        <v>0</v>
      </c>
      <c r="I7" s="54">
        <f>+Baz!I32</f>
        <v>0</v>
      </c>
      <c r="J7" s="54">
        <f>+Baz!J32</f>
        <v>0</v>
      </c>
      <c r="K7" s="54">
        <f>+Baz!K32</f>
        <v>0</v>
      </c>
      <c r="L7" s="62"/>
    </row>
    <row r="8" spans="1:12" ht="14.1" customHeight="1" thickBot="1" x14ac:dyDescent="0.45">
      <c r="A8" s="27" t="s">
        <v>20</v>
      </c>
      <c r="B8" s="54">
        <f>+Baz!B27</f>
        <v>0</v>
      </c>
      <c r="C8" s="54">
        <f>+Baz!C27</f>
        <v>0</v>
      </c>
      <c r="D8" s="54">
        <f>+Baz!D27</f>
        <v>0</v>
      </c>
      <c r="E8" s="54">
        <f>+Baz!E27</f>
        <v>0</v>
      </c>
      <c r="F8" s="54">
        <f>+Baz!F27</f>
        <v>0</v>
      </c>
      <c r="G8" s="54">
        <f>+Baz!G27</f>
        <v>0</v>
      </c>
      <c r="H8" s="54">
        <f>+Baz!H27</f>
        <v>0</v>
      </c>
      <c r="I8" s="54">
        <f>+Baz!I27</f>
        <v>0</v>
      </c>
      <c r="J8" s="54">
        <f>+Baz!J27</f>
        <v>0</v>
      </c>
      <c r="K8" s="54">
        <f>+Baz!K27</f>
        <v>0</v>
      </c>
      <c r="L8" s="62"/>
    </row>
    <row r="9" spans="1:12" ht="14.1" customHeight="1" thickBot="1" x14ac:dyDescent="0.45">
      <c r="A9" s="16" t="s">
        <v>28</v>
      </c>
      <c r="B9" s="24">
        <f>+B5-B7-B8</f>
        <v>0</v>
      </c>
      <c r="C9" s="24">
        <f t="shared" ref="C9:I9" si="2">+C5-C7-C8</f>
        <v>0</v>
      </c>
      <c r="D9" s="24">
        <f t="shared" si="2"/>
        <v>0</v>
      </c>
      <c r="E9" s="24">
        <f t="shared" si="2"/>
        <v>0</v>
      </c>
      <c r="F9" s="24">
        <f t="shared" si="2"/>
        <v>0</v>
      </c>
      <c r="G9" s="24">
        <f t="shared" si="2"/>
        <v>0</v>
      </c>
      <c r="H9" s="24">
        <f t="shared" si="2"/>
        <v>0</v>
      </c>
      <c r="I9" s="24">
        <f t="shared" si="2"/>
        <v>0</v>
      </c>
      <c r="J9" s="24">
        <f>+J5-J7-J8</f>
        <v>0</v>
      </c>
      <c r="K9" s="24">
        <f>+K5-K7-K8</f>
        <v>0</v>
      </c>
      <c r="L9" s="25"/>
    </row>
    <row r="10" spans="1:12" ht="14.1" customHeight="1" x14ac:dyDescent="0.4">
      <c r="A10" s="65" t="s">
        <v>29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2"/>
    </row>
    <row r="11" spans="1:12" ht="14.1" customHeight="1" thickBot="1" x14ac:dyDescent="0.45">
      <c r="A11" s="28" t="s">
        <v>30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2"/>
    </row>
    <row r="12" spans="1:12" ht="14.1" customHeight="1" thickBot="1" x14ac:dyDescent="0.45">
      <c r="A12" s="17" t="s">
        <v>31</v>
      </c>
      <c r="B12" s="20">
        <f>+B9-B10-B11</f>
        <v>0</v>
      </c>
      <c r="C12" s="20">
        <f t="shared" ref="C12:I12" si="3">+C9-C10-C11</f>
        <v>0</v>
      </c>
      <c r="D12" s="20">
        <f>+D9-D10-D11</f>
        <v>0</v>
      </c>
      <c r="E12" s="20">
        <f t="shared" si="3"/>
        <v>0</v>
      </c>
      <c r="F12" s="20">
        <f t="shared" si="3"/>
        <v>0</v>
      </c>
      <c r="G12" s="20">
        <f t="shared" si="3"/>
        <v>0</v>
      </c>
      <c r="H12" s="20">
        <f t="shared" si="3"/>
        <v>0</v>
      </c>
      <c r="I12" s="20">
        <f t="shared" si="3"/>
        <v>0</v>
      </c>
      <c r="J12" s="20">
        <f>+J9-J10-J11</f>
        <v>0</v>
      </c>
      <c r="K12" s="20">
        <f>+K9-K10-K11</f>
        <v>0</v>
      </c>
      <c r="L12" s="25"/>
    </row>
    <row r="13" spans="1:12" ht="14.1" customHeight="1" x14ac:dyDescent="0.4">
      <c r="A13" s="15" t="s">
        <v>32</v>
      </c>
      <c r="B13" s="13">
        <f>+B14+B15+B16+B17</f>
        <v>1713125.52</v>
      </c>
      <c r="C13" s="13">
        <f>+C14+C15+C16+C17</f>
        <v>1907613.8599999999</v>
      </c>
      <c r="D13" s="13">
        <f t="shared" ref="D13:I13" si="4">+D14+D15+D16+D17</f>
        <v>1744205.29</v>
      </c>
      <c r="E13" s="13">
        <f t="shared" si="4"/>
        <v>1574661.37</v>
      </c>
      <c r="F13" s="13">
        <f>+F14+F15+F16+F17</f>
        <v>1385683.1099999999</v>
      </c>
      <c r="G13" s="13">
        <f t="shared" si="4"/>
        <v>1188936.22</v>
      </c>
      <c r="H13" s="13">
        <f t="shared" si="4"/>
        <v>979622.12999999989</v>
      </c>
      <c r="I13" s="13">
        <f t="shared" si="4"/>
        <v>759011.9</v>
      </c>
      <c r="J13" s="13">
        <f>+J14+J15+J16+J17</f>
        <v>520162.57</v>
      </c>
      <c r="K13" s="13">
        <f>+K14+K15+K16+K17</f>
        <v>268130.57</v>
      </c>
      <c r="L13" s="62"/>
    </row>
    <row r="14" spans="1:12" ht="14.1" customHeight="1" x14ac:dyDescent="0.4">
      <c r="A14" s="18" t="s">
        <v>33</v>
      </c>
      <c r="B14" s="21">
        <f>Baz!B18</f>
        <v>0</v>
      </c>
      <c r="C14" s="21">
        <f>Baz!C18</f>
        <v>0</v>
      </c>
      <c r="D14" s="21">
        <f>Baz!D18</f>
        <v>0</v>
      </c>
      <c r="E14" s="21">
        <f>Baz!E18</f>
        <v>0</v>
      </c>
      <c r="F14" s="21">
        <f>Baz!F18</f>
        <v>0</v>
      </c>
      <c r="G14" s="21">
        <f>Baz!G18</f>
        <v>0</v>
      </c>
      <c r="H14" s="21">
        <f>Baz!H18</f>
        <v>0</v>
      </c>
      <c r="I14" s="21">
        <f>Baz!I18</f>
        <v>0</v>
      </c>
      <c r="J14" s="21">
        <f>Baz!J18</f>
        <v>0</v>
      </c>
      <c r="K14" s="21">
        <f>Baz!K18</f>
        <v>0</v>
      </c>
      <c r="L14" s="62"/>
    </row>
    <row r="15" spans="1:12" ht="14.1" customHeight="1" x14ac:dyDescent="0.4">
      <c r="A15" s="18" t="s">
        <v>34</v>
      </c>
      <c r="B15" s="21">
        <f>Baz!B19</f>
        <v>1713125.52</v>
      </c>
      <c r="C15" s="21">
        <f>Baz!C19</f>
        <v>1907613.8599999999</v>
      </c>
      <c r="D15" s="21">
        <f>Baz!D19</f>
        <v>1744205.29</v>
      </c>
      <c r="E15" s="21">
        <f>Baz!E19</f>
        <v>1574661.37</v>
      </c>
      <c r="F15" s="21">
        <f>Baz!F19</f>
        <v>1385683.1099999999</v>
      </c>
      <c r="G15" s="21">
        <f>Baz!G19</f>
        <v>1188936.22</v>
      </c>
      <c r="H15" s="21">
        <f>Baz!H19</f>
        <v>979622.12999999989</v>
      </c>
      <c r="I15" s="21">
        <f>Baz!I19</f>
        <v>759011.9</v>
      </c>
      <c r="J15" s="21">
        <f>Baz!J19</f>
        <v>520162.57</v>
      </c>
      <c r="K15" s="21">
        <f>Baz!K19</f>
        <v>268130.57</v>
      </c>
      <c r="L15" s="62"/>
    </row>
    <row r="16" spans="1:12" ht="14.1" customHeight="1" x14ac:dyDescent="0.4">
      <c r="A16" s="18" t="s">
        <v>35</v>
      </c>
      <c r="B16" s="21">
        <f>+Baz!B20</f>
        <v>0</v>
      </c>
      <c r="C16" s="21">
        <f>+Baz!C20</f>
        <v>0</v>
      </c>
      <c r="D16" s="21">
        <f>+Baz!D20</f>
        <v>0</v>
      </c>
      <c r="E16" s="21">
        <f>+Baz!E20</f>
        <v>0</v>
      </c>
      <c r="F16" s="21">
        <f>+Baz!F20</f>
        <v>0</v>
      </c>
      <c r="G16" s="21">
        <f>+Baz!G20</f>
        <v>0</v>
      </c>
      <c r="H16" s="21">
        <f>+Baz!H20</f>
        <v>0</v>
      </c>
      <c r="I16" s="21">
        <f>+Baz!I20</f>
        <v>0</v>
      </c>
      <c r="J16" s="21">
        <f>+Baz!J20</f>
        <v>0</v>
      </c>
      <c r="K16" s="21">
        <f>+Baz!K20</f>
        <v>0</v>
      </c>
      <c r="L16" s="62"/>
    </row>
    <row r="17" spans="1:11" ht="14.1" customHeight="1" x14ac:dyDescent="0.4">
      <c r="A17" s="18" t="s">
        <v>36</v>
      </c>
      <c r="B17" s="21">
        <f>+Baz!B21</f>
        <v>0</v>
      </c>
      <c r="C17" s="21">
        <f>+Baz!C21</f>
        <v>0</v>
      </c>
      <c r="D17" s="21">
        <f>+Baz!D21</f>
        <v>0</v>
      </c>
      <c r="E17" s="21">
        <f>+Baz!E21</f>
        <v>0</v>
      </c>
      <c r="F17" s="21">
        <f>+Baz!F21</f>
        <v>0</v>
      </c>
      <c r="G17" s="21">
        <f>+Baz!G21</f>
        <v>0</v>
      </c>
      <c r="H17" s="21">
        <f>+Baz!H21</f>
        <v>0</v>
      </c>
      <c r="I17" s="21">
        <f>+Baz!I21</f>
        <v>0</v>
      </c>
      <c r="J17" s="21">
        <f>+Baz!J21</f>
        <v>0</v>
      </c>
      <c r="K17" s="21">
        <f>+Baz!K21</f>
        <v>0</v>
      </c>
    </row>
    <row r="18" spans="1:11" ht="14.1" customHeight="1" x14ac:dyDescent="0.4">
      <c r="A18" s="15" t="s">
        <v>37</v>
      </c>
      <c r="B18" s="54">
        <v>0</v>
      </c>
      <c r="C18" s="54"/>
      <c r="D18" s="54"/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</row>
    <row r="19" spans="1:11" ht="14.1" customHeight="1" thickBot="1" x14ac:dyDescent="0.45">
      <c r="A19" s="15" t="s">
        <v>38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</row>
    <row r="20" spans="1:11" ht="14.1" customHeight="1" thickBot="1" x14ac:dyDescent="0.45">
      <c r="A20" s="19" t="s">
        <v>39</v>
      </c>
      <c r="B20" s="20">
        <f>+B12-B13+B18+B19</f>
        <v>-1713125.52</v>
      </c>
      <c r="C20" s="20">
        <f t="shared" ref="C20:I20" si="5">+C12-C13+C18+C19</f>
        <v>-1907613.8599999999</v>
      </c>
      <c r="D20" s="20">
        <f t="shared" si="5"/>
        <v>-1744205.29</v>
      </c>
      <c r="E20" s="20">
        <f t="shared" si="5"/>
        <v>-1574661.37</v>
      </c>
      <c r="F20" s="20">
        <f t="shared" si="5"/>
        <v>-1385683.1099999999</v>
      </c>
      <c r="G20" s="20">
        <f t="shared" si="5"/>
        <v>-1188936.22</v>
      </c>
      <c r="H20" s="20">
        <f t="shared" si="5"/>
        <v>-979622.12999999989</v>
      </c>
      <c r="I20" s="20">
        <f t="shared" si="5"/>
        <v>-759011.9</v>
      </c>
      <c r="J20" s="20">
        <f>+J12-J13+J18+J19</f>
        <v>-520162.57</v>
      </c>
      <c r="K20" s="20">
        <f>+K12-K13+K18+K19</f>
        <v>-268130.57</v>
      </c>
    </row>
    <row r="21" spans="1:11" ht="14.1" customHeight="1" thickBot="1" x14ac:dyDescent="0.45">
      <c r="A21" s="19" t="s">
        <v>40</v>
      </c>
      <c r="B21" s="20">
        <f>+B20</f>
        <v>-1713125.52</v>
      </c>
      <c r="C21" s="20">
        <f>+C20+B21</f>
        <v>-3620739.38</v>
      </c>
      <c r="D21" s="20">
        <f t="shared" ref="D21:I21" si="6">+D20+C21</f>
        <v>-5364944.67</v>
      </c>
      <c r="E21" s="20">
        <f t="shared" si="6"/>
        <v>-6939606.04</v>
      </c>
      <c r="F21" s="20">
        <f t="shared" si="6"/>
        <v>-8325289.1500000004</v>
      </c>
      <c r="G21" s="20">
        <f t="shared" si="6"/>
        <v>-9514225.370000001</v>
      </c>
      <c r="H21" s="20">
        <f t="shared" si="6"/>
        <v>-10493847.5</v>
      </c>
      <c r="I21" s="20">
        <f t="shared" si="6"/>
        <v>-11252859.4</v>
      </c>
      <c r="J21" s="20">
        <f>+J20+I21</f>
        <v>-11773021.970000001</v>
      </c>
      <c r="K21" s="20">
        <f>+K20+J21</f>
        <v>-12041152.540000001</v>
      </c>
    </row>
    <row r="22" spans="1:11" ht="14.1" hidden="1" customHeight="1" x14ac:dyDescent="0.4">
      <c r="A22" s="68" t="s">
        <v>41</v>
      </c>
      <c r="B22" s="54">
        <f>+SUM($B$19:B19)-SUM($B$14:B14)-SUM($B$16:B16)-B21</f>
        <v>1713125.52</v>
      </c>
      <c r="C22" s="54">
        <f>+SUM($B$19:C19)-SUM($B$14:C14)-SUM($B$16:C16)-C21</f>
        <v>3620739.38</v>
      </c>
      <c r="D22" s="54">
        <f>+SUM($B$19:D19)-SUM($B$14:D14)-SUM($B$16:D16)-D21</f>
        <v>5364944.67</v>
      </c>
      <c r="E22" s="54">
        <f>+SUM($B$19:E19)-SUM($B$14:E14)-SUM($B$16:E16)-E21</f>
        <v>6939606.04</v>
      </c>
      <c r="F22" s="54">
        <f>+SUM($B$19:F19)-SUM($B$14:F14)-SUM($B$16:F16)-F21</f>
        <v>8325289.1500000004</v>
      </c>
      <c r="G22" s="54">
        <f>+SUM($B$19:G19)-SUM($B$14:G14)-SUM($B$16:G16)-G21</f>
        <v>9514225.370000001</v>
      </c>
      <c r="H22" s="54">
        <f>+SUM($B$19:H19)-SUM($B$14:H14)-SUM($B$16:H16)-H21</f>
        <v>10493847.5</v>
      </c>
      <c r="I22" s="54">
        <f>+SUM($B$19:I19)-SUM($B$14:I14)-SUM($B$16:I16)-I21</f>
        <v>11252859.4</v>
      </c>
      <c r="J22" s="54">
        <f>+SUM($B$19:J19)-SUM($B$14:J14)-SUM($B$16:J16)-J21</f>
        <v>11773021.970000001</v>
      </c>
      <c r="K22" s="54">
        <f>+SUM($B$19:K19)-SUM($B$14:K14)-SUM($B$16:K16)-K21</f>
        <v>12041152.540000001</v>
      </c>
    </row>
    <row r="23" spans="1:11" ht="14.1" hidden="1" customHeight="1" x14ac:dyDescent="0.4">
      <c r="A23" s="68" t="s">
        <v>42</v>
      </c>
      <c r="B23" s="69" t="e">
        <f t="shared" ref="B23:I23" si="7">+B22/B5</f>
        <v>#DIV/0!</v>
      </c>
      <c r="C23" s="69" t="e">
        <f t="shared" si="7"/>
        <v>#DIV/0!</v>
      </c>
      <c r="D23" s="69" t="e">
        <f t="shared" si="7"/>
        <v>#DIV/0!</v>
      </c>
      <c r="E23" s="69" t="e">
        <f t="shared" si="7"/>
        <v>#DIV/0!</v>
      </c>
      <c r="F23" s="69" t="e">
        <f t="shared" si="7"/>
        <v>#DIV/0!</v>
      </c>
      <c r="G23" s="69" t="e">
        <f t="shared" si="7"/>
        <v>#DIV/0!</v>
      </c>
      <c r="H23" s="69" t="e">
        <f t="shared" si="7"/>
        <v>#DIV/0!</v>
      </c>
      <c r="I23" s="69" t="e">
        <f t="shared" si="7"/>
        <v>#DIV/0!</v>
      </c>
      <c r="J23" s="69" t="e">
        <f>+J22/J5</f>
        <v>#DIV/0!</v>
      </c>
      <c r="K23" s="69" t="e">
        <f>+K22/K5</f>
        <v>#DIV/0!</v>
      </c>
    </row>
    <row r="24" spans="1:11" ht="14.1" hidden="1" customHeight="1" thickBot="1" x14ac:dyDescent="0.45">
      <c r="A24" s="70" t="s">
        <v>43</v>
      </c>
      <c r="B24" s="71">
        <v>0</v>
      </c>
      <c r="C24" s="71">
        <v>0</v>
      </c>
      <c r="D24" s="71">
        <f t="shared" ref="D24:I24" si="8">+D5/D15</f>
        <v>0</v>
      </c>
      <c r="E24" s="71">
        <f t="shared" si="8"/>
        <v>0</v>
      </c>
      <c r="F24" s="71">
        <f t="shared" si="8"/>
        <v>0</v>
      </c>
      <c r="G24" s="71">
        <f t="shared" si="8"/>
        <v>0</v>
      </c>
      <c r="H24" s="71">
        <f t="shared" si="8"/>
        <v>0</v>
      </c>
      <c r="I24" s="71">
        <f t="shared" si="8"/>
        <v>0</v>
      </c>
      <c r="J24" s="71">
        <f>+J5/J15</f>
        <v>0</v>
      </c>
      <c r="K24" s="71">
        <f>+K5/K15</f>
        <v>0</v>
      </c>
    </row>
    <row r="25" spans="1:11" ht="14.1" customHeight="1" thickBot="1" x14ac:dyDescent="0.45">
      <c r="A25" s="55" t="s">
        <v>44</v>
      </c>
      <c r="B25" s="56">
        <f>+(B12+B18+B19)/B13</f>
        <v>0</v>
      </c>
      <c r="C25" s="56">
        <f t="shared" ref="C25:I25" si="9">+(C12+C18+C19)/C13</f>
        <v>0</v>
      </c>
      <c r="D25" s="56">
        <f t="shared" si="9"/>
        <v>0</v>
      </c>
      <c r="E25" s="56">
        <f t="shared" si="9"/>
        <v>0</v>
      </c>
      <c r="F25" s="56">
        <f t="shared" si="9"/>
        <v>0</v>
      </c>
      <c r="G25" s="56">
        <f t="shared" si="9"/>
        <v>0</v>
      </c>
      <c r="H25" s="56">
        <f t="shared" si="9"/>
        <v>0</v>
      </c>
      <c r="I25" s="56">
        <f t="shared" si="9"/>
        <v>0</v>
      </c>
      <c r="J25" s="56">
        <f>+(J12+J18+J19)/J13</f>
        <v>0</v>
      </c>
      <c r="K25" s="56">
        <f>+(K12+K18+K19)/K13</f>
        <v>0</v>
      </c>
    </row>
    <row r="27" spans="1:11" x14ac:dyDescent="0.4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 x14ac:dyDescent="0.4">
      <c r="A28" s="62"/>
      <c r="B28" s="62"/>
      <c r="C28" s="62"/>
      <c r="D28" s="62"/>
      <c r="E28" s="62"/>
      <c r="F28" s="25"/>
      <c r="G28" s="62"/>
      <c r="H28" s="25"/>
      <c r="I28" s="62"/>
      <c r="J28" s="62"/>
      <c r="K28" s="62"/>
    </row>
    <row r="29" spans="1:11" x14ac:dyDescent="0.4">
      <c r="A29" s="62"/>
      <c r="B29" s="62"/>
      <c r="C29" s="25"/>
      <c r="D29" s="62"/>
      <c r="E29" s="62"/>
      <c r="F29" s="25"/>
      <c r="G29" s="62"/>
      <c r="H29" s="62"/>
      <c r="I29" s="62"/>
      <c r="J29" s="62"/>
      <c r="K29" s="62"/>
    </row>
    <row r="30" spans="1:11" x14ac:dyDescent="0.4">
      <c r="A30" s="62"/>
      <c r="B30" s="62"/>
      <c r="C30" s="25"/>
      <c r="D30" s="62"/>
      <c r="E30" s="62"/>
      <c r="F30" s="62"/>
      <c r="G30" s="62"/>
      <c r="H30" s="62"/>
      <c r="I30" s="62"/>
      <c r="J30" s="62"/>
      <c r="K30" s="62"/>
    </row>
  </sheetData>
  <mergeCells count="1">
    <mergeCell ref="A1:K1"/>
  </mergeCells>
  <phoneticPr fontId="0" type="noConversion"/>
  <printOptions horizontalCentered="1"/>
  <pageMargins left="0.39370078740157483" right="0.21" top="1.68" bottom="0.39370078740157483" header="0.73" footer="0.39370078740157483"/>
  <pageSetup paperSize="9" scale="9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9"/>
  <sheetViews>
    <sheetView tabSelected="1" topLeftCell="C14" zoomScaleNormal="100" workbookViewId="0">
      <selection activeCell="C32" sqref="C32"/>
    </sheetView>
  </sheetViews>
  <sheetFormatPr defaultColWidth="9.1640625" defaultRowHeight="12.3" x14ac:dyDescent="0.4"/>
  <cols>
    <col min="1" max="1" width="28.5546875" style="31" customWidth="1"/>
    <col min="2" max="2" width="10.1640625" style="31" bestFit="1" customWidth="1"/>
    <col min="3" max="4" width="13" style="31" customWidth="1"/>
    <col min="5" max="5" width="15.1640625" style="31" bestFit="1" customWidth="1"/>
    <col min="6" max="6" width="14.44140625" style="31" customWidth="1"/>
    <col min="7" max="7" width="15.5546875" style="31" bestFit="1" customWidth="1"/>
    <col min="8" max="8" width="15.83203125" style="32" bestFit="1" customWidth="1"/>
    <col min="9" max="9" width="17.5546875" style="32" customWidth="1"/>
    <col min="10" max="10" width="13.83203125" style="31" bestFit="1" customWidth="1"/>
    <col min="11" max="11" width="15.44140625" style="31" bestFit="1" customWidth="1"/>
    <col min="12" max="12" width="15.44140625" style="31" customWidth="1"/>
    <col min="13" max="13" width="13.83203125" style="31" bestFit="1" customWidth="1"/>
    <col min="14" max="16384" width="9.1640625" style="31"/>
  </cols>
  <sheetData>
    <row r="1" spans="1:9" x14ac:dyDescent="0.4">
      <c r="A1" s="29" t="s">
        <v>45</v>
      </c>
      <c r="B1" s="30">
        <v>0</v>
      </c>
    </row>
    <row r="2" spans="1:9" x14ac:dyDescent="0.4">
      <c r="A2" s="31" t="s">
        <v>46</v>
      </c>
      <c r="B2" s="30">
        <v>0</v>
      </c>
    </row>
    <row r="3" spans="1:9" x14ac:dyDescent="0.4">
      <c r="A3" s="31" t="s">
        <v>47</v>
      </c>
      <c r="B3" s="74">
        <v>0.06</v>
      </c>
    </row>
    <row r="4" spans="1:9" ht="24.6" x14ac:dyDescent="0.4">
      <c r="A4" s="88" t="s">
        <v>75</v>
      </c>
      <c r="B4" s="33"/>
      <c r="C4" s="34" t="s">
        <v>48</v>
      </c>
      <c r="D4" s="34" t="s">
        <v>49</v>
      </c>
      <c r="E4" s="34" t="s">
        <v>50</v>
      </c>
      <c r="F4" s="34" t="s">
        <v>47</v>
      </c>
      <c r="G4" s="34" t="s">
        <v>51</v>
      </c>
      <c r="H4" s="34" t="s">
        <v>52</v>
      </c>
      <c r="I4" s="34" t="s">
        <v>53</v>
      </c>
    </row>
    <row r="5" spans="1:9" x14ac:dyDescent="0.4">
      <c r="A5" s="98" t="s">
        <v>60</v>
      </c>
      <c r="B5" s="78" t="s">
        <v>71</v>
      </c>
      <c r="C5" s="75">
        <v>43101</v>
      </c>
      <c r="D5" s="76"/>
      <c r="E5" s="81"/>
      <c r="F5" s="81">
        <f>F7+F9+F11+F13+F15+F17+F19+F21+F23+F25</f>
        <v>8194135.0299999993</v>
      </c>
      <c r="G5" s="81"/>
      <c r="H5" s="92">
        <f>E5+E6</f>
        <v>0</v>
      </c>
      <c r="I5" s="92">
        <f>F5+F6</f>
        <v>12041152.539999999</v>
      </c>
    </row>
    <row r="6" spans="1:9" x14ac:dyDescent="0.4">
      <c r="A6" s="99"/>
      <c r="B6" s="78" t="s">
        <v>72</v>
      </c>
      <c r="C6" s="75">
        <v>43101</v>
      </c>
      <c r="D6" s="77">
        <f>C6-C5</f>
        <v>0</v>
      </c>
      <c r="E6" s="81"/>
      <c r="F6" s="81">
        <f>F8+F10+F12+F14+F16+F18+F20+F22+F24+F26</f>
        <v>3847017.5100000002</v>
      </c>
      <c r="G6" s="81"/>
      <c r="H6" s="93"/>
      <c r="I6" s="93"/>
    </row>
    <row r="7" spans="1:9" x14ac:dyDescent="0.4">
      <c r="A7" s="102" t="s">
        <v>60</v>
      </c>
      <c r="B7" s="50">
        <v>1</v>
      </c>
      <c r="C7" s="72">
        <v>43465</v>
      </c>
      <c r="D7" s="61">
        <v>360</v>
      </c>
      <c r="E7" s="82"/>
      <c r="F7" s="82">
        <f>1295560.93+64778.05</f>
        <v>1360338.98</v>
      </c>
      <c r="G7" s="82">
        <f t="shared" ref="G7:G26" si="0">G5-E7</f>
        <v>0</v>
      </c>
      <c r="H7" s="94">
        <f>E7+E8</f>
        <v>0</v>
      </c>
      <c r="I7" s="94">
        <f>F7+F8</f>
        <v>1713125.52</v>
      </c>
    </row>
    <row r="8" spans="1:9" x14ac:dyDescent="0.4">
      <c r="A8" s="103"/>
      <c r="B8" s="50">
        <v>1</v>
      </c>
      <c r="C8" s="72">
        <v>43281</v>
      </c>
      <c r="D8" s="61">
        <v>180</v>
      </c>
      <c r="E8" s="82"/>
      <c r="F8" s="82">
        <f>335987.18+16799.36</f>
        <v>352786.54</v>
      </c>
      <c r="G8" s="82">
        <f t="shared" si="0"/>
        <v>0</v>
      </c>
      <c r="H8" s="95"/>
      <c r="I8" s="95"/>
    </row>
    <row r="9" spans="1:9" x14ac:dyDescent="0.4">
      <c r="A9" s="100" t="s">
        <v>61</v>
      </c>
      <c r="B9" s="59">
        <v>2</v>
      </c>
      <c r="C9" s="73">
        <v>43830</v>
      </c>
      <c r="D9" s="60">
        <v>360</v>
      </c>
      <c r="E9" s="83"/>
      <c r="F9" s="83">
        <f>1202114.45+60105.72</f>
        <v>1262220.17</v>
      </c>
      <c r="G9" s="84">
        <f t="shared" si="0"/>
        <v>0</v>
      </c>
      <c r="H9" s="96">
        <f>E9+E10</f>
        <v>0</v>
      </c>
      <c r="I9" s="94">
        <f>F9+F10</f>
        <v>1907613.8599999999</v>
      </c>
    </row>
    <row r="10" spans="1:9" x14ac:dyDescent="0.4">
      <c r="A10" s="101"/>
      <c r="B10" s="59">
        <v>2</v>
      </c>
      <c r="C10" s="73">
        <v>43646</v>
      </c>
      <c r="D10" s="60">
        <v>360</v>
      </c>
      <c r="E10" s="83"/>
      <c r="F10" s="83">
        <f>614660.66+30733.03</f>
        <v>645393.69000000006</v>
      </c>
      <c r="G10" s="84">
        <f t="shared" si="0"/>
        <v>0</v>
      </c>
      <c r="H10" s="97"/>
      <c r="I10" s="95"/>
    </row>
    <row r="11" spans="1:9" x14ac:dyDescent="0.4">
      <c r="A11" s="102" t="s">
        <v>63</v>
      </c>
      <c r="B11" s="50">
        <v>3</v>
      </c>
      <c r="C11" s="72">
        <v>44196</v>
      </c>
      <c r="D11" s="61">
        <v>360</v>
      </c>
      <c r="E11" s="82"/>
      <c r="F11" s="82">
        <f>1099139.84+54956.99</f>
        <v>1154096.83</v>
      </c>
      <c r="G11" s="82">
        <f t="shared" si="0"/>
        <v>0</v>
      </c>
      <c r="H11" s="94">
        <f>E11+E12</f>
        <v>0</v>
      </c>
      <c r="I11" s="94">
        <f>F11+F12</f>
        <v>1744205.29</v>
      </c>
    </row>
    <row r="12" spans="1:9" x14ac:dyDescent="0.4">
      <c r="A12" s="103"/>
      <c r="B12" s="50">
        <v>3</v>
      </c>
      <c r="C12" s="72">
        <v>44012</v>
      </c>
      <c r="D12" s="61">
        <v>360</v>
      </c>
      <c r="E12" s="82"/>
      <c r="F12" s="82">
        <f>562008.06+28100.4</f>
        <v>590108.46000000008</v>
      </c>
      <c r="G12" s="82">
        <f t="shared" si="0"/>
        <v>0</v>
      </c>
      <c r="H12" s="95"/>
      <c r="I12" s="95"/>
    </row>
    <row r="13" spans="1:9" x14ac:dyDescent="0.4">
      <c r="A13" s="100" t="s">
        <v>64</v>
      </c>
      <c r="B13" s="59">
        <v>4</v>
      </c>
      <c r="C13" s="73">
        <v>44561</v>
      </c>
      <c r="D13" s="60">
        <v>360</v>
      </c>
      <c r="E13" s="83"/>
      <c r="F13" s="83">
        <f>992298.92+49614.95</f>
        <v>1041913.87</v>
      </c>
      <c r="G13" s="84">
        <f t="shared" si="0"/>
        <v>0</v>
      </c>
      <c r="H13" s="96">
        <f>E13+E14</f>
        <v>0</v>
      </c>
      <c r="I13" s="94">
        <f>F13+F14</f>
        <v>1574661.37</v>
      </c>
    </row>
    <row r="14" spans="1:9" x14ac:dyDescent="0.4">
      <c r="A14" s="101"/>
      <c r="B14" s="59">
        <v>4</v>
      </c>
      <c r="C14" s="73">
        <v>44377</v>
      </c>
      <c r="D14" s="60">
        <v>360</v>
      </c>
      <c r="E14" s="83"/>
      <c r="F14" s="83">
        <f>507378.57+25368.93</f>
        <v>532747.5</v>
      </c>
      <c r="G14" s="84">
        <f t="shared" si="0"/>
        <v>0</v>
      </c>
      <c r="H14" s="97"/>
      <c r="I14" s="95"/>
    </row>
    <row r="15" spans="1:9" x14ac:dyDescent="0.4">
      <c r="A15" s="102" t="s">
        <v>65</v>
      </c>
      <c r="B15" s="50">
        <v>5</v>
      </c>
      <c r="C15" s="72">
        <v>44926</v>
      </c>
      <c r="D15" s="61">
        <v>360</v>
      </c>
      <c r="E15" s="82"/>
      <c r="F15" s="82">
        <f>873211.15+43660.56</f>
        <v>916871.71</v>
      </c>
      <c r="G15" s="82">
        <f t="shared" si="0"/>
        <v>0</v>
      </c>
      <c r="H15" s="94">
        <f>E15+E16</f>
        <v>0</v>
      </c>
      <c r="I15" s="94">
        <f>F15+F16</f>
        <v>1385683.1099999999</v>
      </c>
    </row>
    <row r="16" spans="1:9" x14ac:dyDescent="0.4">
      <c r="A16" s="103"/>
      <c r="B16" s="50">
        <v>5</v>
      </c>
      <c r="C16" s="72">
        <v>44742</v>
      </c>
      <c r="D16" s="61">
        <v>360</v>
      </c>
      <c r="E16" s="82"/>
      <c r="F16" s="82">
        <f>446487.05+22324.35</f>
        <v>468811.39999999997</v>
      </c>
      <c r="G16" s="82">
        <f t="shared" si="0"/>
        <v>0</v>
      </c>
      <c r="H16" s="95"/>
      <c r="I16" s="95"/>
    </row>
    <row r="17" spans="1:13" x14ac:dyDescent="0.4">
      <c r="A17" s="100" t="s">
        <v>66</v>
      </c>
      <c r="B17" s="49">
        <v>6</v>
      </c>
      <c r="C17" s="73">
        <v>45291</v>
      </c>
      <c r="D17" s="60">
        <v>360</v>
      </c>
      <c r="E17" s="83"/>
      <c r="F17" s="83">
        <f>749227.84+37461.39</f>
        <v>786689.23</v>
      </c>
      <c r="G17" s="84">
        <f t="shared" si="0"/>
        <v>0</v>
      </c>
      <c r="H17" s="96">
        <f>E17+E18</f>
        <v>0</v>
      </c>
      <c r="I17" s="94">
        <f>F17+F18</f>
        <v>1188936.22</v>
      </c>
    </row>
    <row r="18" spans="1:13" x14ac:dyDescent="0.4">
      <c r="A18" s="101"/>
      <c r="B18" s="49">
        <v>6</v>
      </c>
      <c r="C18" s="73">
        <v>45107</v>
      </c>
      <c r="D18" s="60">
        <v>360</v>
      </c>
      <c r="E18" s="83"/>
      <c r="F18" s="83">
        <f>383092.37+19154.62</f>
        <v>402246.99</v>
      </c>
      <c r="G18" s="84">
        <f t="shared" si="0"/>
        <v>0</v>
      </c>
      <c r="H18" s="97"/>
      <c r="I18" s="95"/>
    </row>
    <row r="19" spans="1:13" x14ac:dyDescent="0.4">
      <c r="A19" s="102" t="s">
        <v>67</v>
      </c>
      <c r="B19" s="50">
        <v>7</v>
      </c>
      <c r="C19" s="72">
        <v>45657</v>
      </c>
      <c r="D19" s="61">
        <v>360</v>
      </c>
      <c r="E19" s="82"/>
      <c r="F19" s="82">
        <f>617325.1+30866.26</f>
        <v>648191.36</v>
      </c>
      <c r="G19" s="82">
        <f t="shared" si="0"/>
        <v>0</v>
      </c>
      <c r="H19" s="94">
        <f>E19+E20</f>
        <v>0</v>
      </c>
      <c r="I19" s="94">
        <f>F19+F20</f>
        <v>979622.12999999989</v>
      </c>
    </row>
    <row r="20" spans="1:13" x14ac:dyDescent="0.4">
      <c r="A20" s="103"/>
      <c r="B20" s="50">
        <v>7</v>
      </c>
      <c r="C20" s="72">
        <v>45473</v>
      </c>
      <c r="D20" s="61">
        <v>360</v>
      </c>
      <c r="E20" s="82"/>
      <c r="F20" s="82">
        <f>315648.35+15782.42</f>
        <v>331430.76999999996</v>
      </c>
      <c r="G20" s="82">
        <f t="shared" si="0"/>
        <v>0</v>
      </c>
      <c r="H20" s="95"/>
      <c r="I20" s="95"/>
    </row>
    <row r="21" spans="1:13" x14ac:dyDescent="0.4">
      <c r="A21" s="100" t="s">
        <v>68</v>
      </c>
      <c r="B21" s="49">
        <v>8</v>
      </c>
      <c r="C21" s="73">
        <v>46022</v>
      </c>
      <c r="D21" s="60">
        <v>360</v>
      </c>
      <c r="E21" s="83"/>
      <c r="F21" s="83">
        <f>478303.91+23915.2</f>
        <v>502219.11</v>
      </c>
      <c r="G21" s="84">
        <f t="shared" si="0"/>
        <v>0</v>
      </c>
      <c r="H21" s="96">
        <f>E21+E22</f>
        <v>0</v>
      </c>
      <c r="I21" s="94">
        <f>F21+F22</f>
        <v>759011.9</v>
      </c>
    </row>
    <row r="22" spans="1:13" x14ac:dyDescent="0.4">
      <c r="A22" s="101"/>
      <c r="B22" s="49">
        <v>8</v>
      </c>
      <c r="C22" s="73">
        <v>45838</v>
      </c>
      <c r="D22" s="60">
        <v>360</v>
      </c>
      <c r="E22" s="83"/>
      <c r="F22" s="83">
        <f>244564.56+12228.23</f>
        <v>256792.79</v>
      </c>
      <c r="G22" s="84">
        <f t="shared" si="0"/>
        <v>0</v>
      </c>
      <c r="H22" s="97"/>
      <c r="I22" s="95"/>
    </row>
    <row r="23" spans="1:13" x14ac:dyDescent="0.4">
      <c r="A23" s="102" t="s">
        <v>69</v>
      </c>
      <c r="B23" s="50">
        <v>9</v>
      </c>
      <c r="C23" s="72">
        <v>46387</v>
      </c>
      <c r="D23" s="61">
        <v>360</v>
      </c>
      <c r="E23" s="82"/>
      <c r="F23" s="82">
        <f>327789.06+16389.45</f>
        <v>344178.51</v>
      </c>
      <c r="G23" s="82">
        <f t="shared" si="0"/>
        <v>0</v>
      </c>
      <c r="H23" s="94">
        <f>E23+E24</f>
        <v>0</v>
      </c>
      <c r="I23" s="94">
        <f>F23+F24</f>
        <v>520162.57</v>
      </c>
    </row>
    <row r="24" spans="1:13" x14ac:dyDescent="0.4">
      <c r="A24" s="103"/>
      <c r="B24" s="50">
        <v>9</v>
      </c>
      <c r="C24" s="72">
        <v>46203</v>
      </c>
      <c r="D24" s="61">
        <v>360</v>
      </c>
      <c r="E24" s="82"/>
      <c r="F24" s="82">
        <f>167603.87+8380.19</f>
        <v>175984.06</v>
      </c>
      <c r="G24" s="82">
        <f t="shared" si="0"/>
        <v>0</v>
      </c>
      <c r="H24" s="95"/>
      <c r="I24" s="95"/>
    </row>
    <row r="25" spans="1:13" x14ac:dyDescent="0.4">
      <c r="A25" s="100" t="s">
        <v>70</v>
      </c>
      <c r="B25" s="51">
        <v>10</v>
      </c>
      <c r="C25" s="73">
        <v>46752</v>
      </c>
      <c r="D25" s="60">
        <v>360</v>
      </c>
      <c r="E25" s="83"/>
      <c r="F25" s="83">
        <f>168966.91+8448.35</f>
        <v>177415.26</v>
      </c>
      <c r="G25" s="84">
        <f t="shared" si="0"/>
        <v>0</v>
      </c>
      <c r="H25" s="96">
        <f>E25+E26</f>
        <v>0</v>
      </c>
      <c r="I25" s="94">
        <f>F25+F26</f>
        <v>268130.57</v>
      </c>
    </row>
    <row r="26" spans="1:13" x14ac:dyDescent="0.4">
      <c r="A26" s="101"/>
      <c r="B26" s="51">
        <v>10</v>
      </c>
      <c r="C26" s="73">
        <v>46568</v>
      </c>
      <c r="D26" s="60">
        <v>360</v>
      </c>
      <c r="E26" s="83"/>
      <c r="F26" s="83">
        <f>86395.53+4319.78</f>
        <v>90715.31</v>
      </c>
      <c r="G26" s="84">
        <f t="shared" si="0"/>
        <v>0</v>
      </c>
      <c r="H26" s="97"/>
      <c r="I26" s="95"/>
    </row>
    <row r="27" spans="1:13" x14ac:dyDescent="0.4">
      <c r="A27" s="37"/>
      <c r="B27" s="36"/>
      <c r="C27" s="38"/>
      <c r="D27" s="36"/>
      <c r="E27" s="79"/>
      <c r="F27" s="79"/>
      <c r="G27" s="79"/>
      <c r="H27" s="80"/>
      <c r="I27" s="80"/>
    </row>
    <row r="28" spans="1:13" ht="19.5" customHeight="1" x14ac:dyDescent="0.4">
      <c r="A28" s="39" t="s">
        <v>54</v>
      </c>
      <c r="B28" s="40"/>
      <c r="C28" s="40"/>
      <c r="D28" s="40"/>
      <c r="E28" s="85">
        <f>SUM(E7:E27)</f>
        <v>0</v>
      </c>
      <c r="F28" s="85">
        <f>SUM(F5:F27)</f>
        <v>24082305.079999998</v>
      </c>
      <c r="G28" s="40"/>
      <c r="H28" s="86">
        <f>SUM(H7:H27)</f>
        <v>0</v>
      </c>
      <c r="I28" s="86">
        <f>SUM(I7:I27)</f>
        <v>12041152.540000001</v>
      </c>
    </row>
    <row r="29" spans="1:13" s="43" customFormat="1" ht="19.5" customHeight="1" x14ac:dyDescent="0.4">
      <c r="A29" s="42"/>
      <c r="B29" s="42"/>
      <c r="C29" s="42"/>
      <c r="D29" s="42"/>
      <c r="E29" s="42"/>
      <c r="F29" s="42"/>
      <c r="G29" s="42"/>
      <c r="H29" s="35"/>
      <c r="I29" s="35"/>
    </row>
    <row r="30" spans="1:13" x14ac:dyDescent="0.4">
      <c r="A30" s="44" t="s">
        <v>55</v>
      </c>
      <c r="B30" s="33"/>
      <c r="C30" s="53" t="s">
        <v>60</v>
      </c>
      <c r="D30" s="53" t="s">
        <v>61</v>
      </c>
      <c r="E30" s="53" t="s">
        <v>63</v>
      </c>
      <c r="F30" s="53" t="s">
        <v>64</v>
      </c>
      <c r="G30" s="53" t="s">
        <v>65</v>
      </c>
      <c r="H30" s="53" t="s">
        <v>66</v>
      </c>
      <c r="I30" s="53" t="s">
        <v>67</v>
      </c>
      <c r="J30" s="53" t="s">
        <v>68</v>
      </c>
      <c r="K30" s="53" t="s">
        <v>69</v>
      </c>
      <c r="L30" s="53" t="s">
        <v>70</v>
      </c>
      <c r="M30" s="45" t="s">
        <v>54</v>
      </c>
    </row>
    <row r="31" spans="1:13" x14ac:dyDescent="0.4">
      <c r="A31" s="46" t="s">
        <v>56</v>
      </c>
      <c r="B31" s="33"/>
      <c r="C31" s="87">
        <f>E7+E8</f>
        <v>0</v>
      </c>
      <c r="D31" s="87">
        <f>E9+E10</f>
        <v>0</v>
      </c>
      <c r="E31" s="87">
        <f>E11+E12</f>
        <v>0</v>
      </c>
      <c r="F31" s="87">
        <f>E13+E14</f>
        <v>0</v>
      </c>
      <c r="G31" s="87">
        <f>E15+E16</f>
        <v>0</v>
      </c>
      <c r="H31" s="87">
        <f>E17+E18</f>
        <v>0</v>
      </c>
      <c r="I31" s="87">
        <f>E19+E20</f>
        <v>0</v>
      </c>
      <c r="J31" s="87">
        <f>E21+E22</f>
        <v>0</v>
      </c>
      <c r="K31" s="87">
        <f>E23+E24</f>
        <v>0</v>
      </c>
      <c r="L31" s="87">
        <f>E25+E26</f>
        <v>0</v>
      </c>
      <c r="M31" s="86">
        <f>SUM(C31:L31)</f>
        <v>0</v>
      </c>
    </row>
    <row r="32" spans="1:13" x14ac:dyDescent="0.4">
      <c r="A32" s="46" t="s">
        <v>57</v>
      </c>
      <c r="B32" s="33"/>
      <c r="C32" s="87">
        <f>F7+F8</f>
        <v>1713125.52</v>
      </c>
      <c r="D32" s="87">
        <f>F9+F10</f>
        <v>1907613.8599999999</v>
      </c>
      <c r="E32" s="87">
        <f>F11+F12</f>
        <v>1744205.29</v>
      </c>
      <c r="F32" s="87">
        <f>F13+F14</f>
        <v>1574661.37</v>
      </c>
      <c r="G32" s="87">
        <f>F15+F16</f>
        <v>1385683.1099999999</v>
      </c>
      <c r="H32" s="87">
        <f>F17+F18</f>
        <v>1188936.22</v>
      </c>
      <c r="I32" s="87">
        <f>F19+F20</f>
        <v>979622.12999999989</v>
      </c>
      <c r="J32" s="87">
        <f>F21+F22</f>
        <v>759011.9</v>
      </c>
      <c r="K32" s="87">
        <f>F23+F24</f>
        <v>520162.57</v>
      </c>
      <c r="L32" s="87">
        <f>F25+F26</f>
        <v>268130.57</v>
      </c>
      <c r="M32" s="86">
        <f>SUM(C32:L32)</f>
        <v>12041152.540000001</v>
      </c>
    </row>
    <row r="33" spans="1:13" x14ac:dyDescent="0.4">
      <c r="A33" s="48" t="s">
        <v>58</v>
      </c>
      <c r="B33" s="33"/>
      <c r="C33" s="87">
        <f>SUM(C31:C32)</f>
        <v>1713125.52</v>
      </c>
      <c r="D33" s="87">
        <f>SUM(D31:D32)</f>
        <v>1907613.8599999999</v>
      </c>
      <c r="E33" s="87">
        <f>SUM(E31:E32)</f>
        <v>1744205.29</v>
      </c>
      <c r="F33" s="87">
        <f>SUM(F31:F32)</f>
        <v>1574661.37</v>
      </c>
      <c r="G33" s="87">
        <f t="shared" ref="G33:L33" si="1">SUM(G31:G32)</f>
        <v>1385683.1099999999</v>
      </c>
      <c r="H33" s="87">
        <f t="shared" si="1"/>
        <v>1188936.22</v>
      </c>
      <c r="I33" s="87">
        <f t="shared" si="1"/>
        <v>979622.12999999989</v>
      </c>
      <c r="J33" s="87">
        <f t="shared" si="1"/>
        <v>759011.9</v>
      </c>
      <c r="K33" s="87">
        <f t="shared" si="1"/>
        <v>520162.57</v>
      </c>
      <c r="L33" s="87">
        <f t="shared" si="1"/>
        <v>268130.57</v>
      </c>
      <c r="M33" s="86">
        <f>SUM(C33:L33)</f>
        <v>12041152.540000001</v>
      </c>
    </row>
    <row r="36" spans="1:13" x14ac:dyDescent="0.4">
      <c r="A36" s="44" t="s">
        <v>59</v>
      </c>
      <c r="B36" s="33"/>
      <c r="C36" s="53" t="s">
        <v>60</v>
      </c>
      <c r="D36" s="53" t="s">
        <v>61</v>
      </c>
      <c r="E36" s="53" t="s">
        <v>63</v>
      </c>
      <c r="F36" s="53" t="s">
        <v>64</v>
      </c>
      <c r="G36" s="53" t="s">
        <v>65</v>
      </c>
      <c r="H36" s="53" t="s">
        <v>66</v>
      </c>
      <c r="I36" s="53" t="s">
        <v>67</v>
      </c>
      <c r="J36" s="53" t="s">
        <v>68</v>
      </c>
      <c r="K36" s="53" t="s">
        <v>69</v>
      </c>
      <c r="L36" s="53" t="s">
        <v>70</v>
      </c>
      <c r="M36" s="45" t="s">
        <v>54</v>
      </c>
    </row>
    <row r="37" spans="1:13" x14ac:dyDescent="0.4">
      <c r="A37" s="46" t="s">
        <v>56</v>
      </c>
      <c r="B37" s="33"/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1">
        <f>SUM(C37:K37)</f>
        <v>0</v>
      </c>
    </row>
    <row r="38" spans="1:13" x14ac:dyDescent="0.4">
      <c r="A38" s="46" t="s">
        <v>57</v>
      </c>
      <c r="B38" s="33"/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1">
        <f>SUM(C38:K38)</f>
        <v>0</v>
      </c>
    </row>
    <row r="39" spans="1:13" x14ac:dyDescent="0.4">
      <c r="A39" s="52" t="s">
        <v>62</v>
      </c>
      <c r="B39" s="33"/>
      <c r="C39" s="47">
        <f t="shared" ref="C39:K39" si="2">SUM(C37:C38)</f>
        <v>0</v>
      </c>
      <c r="D39" s="47">
        <f t="shared" si="2"/>
        <v>0</v>
      </c>
      <c r="E39" s="47">
        <f t="shared" si="2"/>
        <v>0</v>
      </c>
      <c r="F39" s="47">
        <f t="shared" si="2"/>
        <v>0</v>
      </c>
      <c r="G39" s="47">
        <f t="shared" si="2"/>
        <v>0</v>
      </c>
      <c r="H39" s="47">
        <f t="shared" si="2"/>
        <v>0</v>
      </c>
      <c r="I39" s="47">
        <f t="shared" si="2"/>
        <v>0</v>
      </c>
      <c r="J39" s="47">
        <f t="shared" si="2"/>
        <v>0</v>
      </c>
      <c r="K39" s="47">
        <f t="shared" si="2"/>
        <v>0</v>
      </c>
      <c r="L39" s="47">
        <f t="shared" ref="L39" si="3">SUM(L37:L38)</f>
        <v>0</v>
      </c>
      <c r="M39" s="41">
        <f>SUM(C39:K39)</f>
        <v>0</v>
      </c>
    </row>
  </sheetData>
  <mergeCells count="33">
    <mergeCell ref="A25:A26"/>
    <mergeCell ref="A23:A24"/>
    <mergeCell ref="I25:I26"/>
    <mergeCell ref="I23:I24"/>
    <mergeCell ref="H23:H24"/>
    <mergeCell ref="H25:H26"/>
    <mergeCell ref="A5:A6"/>
    <mergeCell ref="A17:A18"/>
    <mergeCell ref="A19:A20"/>
    <mergeCell ref="A21:A22"/>
    <mergeCell ref="A7:A8"/>
    <mergeCell ref="A9:A10"/>
    <mergeCell ref="A11:A12"/>
    <mergeCell ref="A13:A14"/>
    <mergeCell ref="A15:A16"/>
    <mergeCell ref="H5:H6"/>
    <mergeCell ref="H21:H22"/>
    <mergeCell ref="H19:H20"/>
    <mergeCell ref="H17:H18"/>
    <mergeCell ref="H15:H16"/>
    <mergeCell ref="H13:H14"/>
    <mergeCell ref="H11:H12"/>
    <mergeCell ref="H9:H10"/>
    <mergeCell ref="H7:H8"/>
    <mergeCell ref="I5:I6"/>
    <mergeCell ref="I11:I12"/>
    <mergeCell ref="I9:I10"/>
    <mergeCell ref="I7:I8"/>
    <mergeCell ref="I21:I22"/>
    <mergeCell ref="I19:I20"/>
    <mergeCell ref="I17:I18"/>
    <mergeCell ref="I15:I16"/>
    <mergeCell ref="I13:I14"/>
  </mergeCells>
  <phoneticPr fontId="3" type="noConversion"/>
  <pageMargins left="0.75" right="0.75" top="1" bottom="1" header="0.5" footer="0.5"/>
  <pageSetup paperSize="9" scale="6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709F7093A3BDA34BA2C96149957D7574" ma:contentTypeVersion="5" ma:contentTypeDescription="Yeni belge oluşturun." ma:contentTypeScope="" ma:versionID="0cdd95b984452d75a71e84ec966052b7">
  <xsd:schema xmlns:xsd="http://www.w3.org/2001/XMLSchema" xmlns:xs="http://www.w3.org/2001/XMLSchema" xmlns:p="http://schemas.microsoft.com/office/2006/metadata/properties" xmlns:ns2="fcabbff7-fb6a-41c1-a9a8-b15b29ae73ea" targetNamespace="http://schemas.microsoft.com/office/2006/metadata/properties" ma:root="true" ma:fieldsID="1ea671140f7316ce9a4a4ad964c4a902" ns2:_="">
    <xsd:import namespace="fcabbff7-fb6a-41c1-a9a8-b15b29ae73e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bbff7-fb6a-41c1-a9a8-b15b29ae73e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Belge Kimliği Değeri" ma:description="Bu öğeye atanan belge kimliğinin değeri." ma:internalName="_dlc_DocId" ma:readOnly="true">
      <xsd:simpleType>
        <xsd:restriction base="dms:Text"/>
      </xsd:simpleType>
    </xsd:element>
    <xsd:element name="_dlc_DocIdUrl" ma:index="9" nillable="true" ma:displayName="Belge Kimliği" ma:description="Bu belgeye yönelik kalıcı bağlantı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Kalıcı Kimlik" ma:description="Eklerken kimliği koru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F02453-6AC1-4C02-BAA8-AF64165DF6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abbff7-fb6a-41c1-a9a8-b15b29ae73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02B058-E44D-4923-AACE-BCFEEA50A10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2CDE6BD-98C4-49A4-A98A-B13E56778C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Baz</vt:lpstr>
      <vt:lpstr>Nakit Akım</vt:lpstr>
      <vt:lpstr>Ödeme Tablosu</vt:lpstr>
      <vt:lpstr>Baz!Yazdırma_Alanı</vt:lpstr>
      <vt:lpstr>'Nakit Akım'!Yazdırma_Alanı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34285</dc:creator>
  <cp:lastModifiedBy>Mustafa</cp:lastModifiedBy>
  <cp:lastPrinted>2016-05-12T11:07:15Z</cp:lastPrinted>
  <dcterms:created xsi:type="dcterms:W3CDTF">2005-08-02T09:05:18Z</dcterms:created>
  <dcterms:modified xsi:type="dcterms:W3CDTF">2018-10-16T20:10:30Z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